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11445" windowHeight="8280" tabRatio="914" activeTab="8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definedNames>
    <definedName name="_xlnm.Print_Area" localSheetId="3">April!$A$1:$G$67</definedName>
    <definedName name="_xlnm.Print_Area" localSheetId="7">August!$A$1:$G$67</definedName>
    <definedName name="_xlnm.Print_Area" localSheetId="11">December!$A$1:$G$67</definedName>
    <definedName name="_xlnm.Print_Area" localSheetId="1">February!$A$1:$G$67</definedName>
    <definedName name="_xlnm.Print_Area" localSheetId="0">January!$A$1:$G$67</definedName>
    <definedName name="_xlnm.Print_Area" localSheetId="6">July!$A$2:$G$67</definedName>
    <definedName name="_xlnm.Print_Area" localSheetId="5">June!$A$1:$G$67</definedName>
    <definedName name="_xlnm.Print_Area" localSheetId="2">March!$A$1:$G$67</definedName>
    <definedName name="_xlnm.Print_Area" localSheetId="4">May!$A$1:$G$67</definedName>
    <definedName name="_xlnm.Print_Area" localSheetId="10">November!$A$1:$G$67</definedName>
    <definedName name="_xlnm.Print_Area" localSheetId="9">October!$A$1:$G$67</definedName>
    <definedName name="_xlnm.Print_Area" localSheetId="8">September!$A$1:$G$67</definedName>
  </definedNames>
  <calcPr calcId="145621"/>
</workbook>
</file>

<file path=xl/calcChain.xml><?xml version="1.0" encoding="utf-8"?>
<calcChain xmlns="http://schemas.openxmlformats.org/spreadsheetml/2006/main">
  <c r="B28" i="9" l="1"/>
  <c r="C63" i="9"/>
  <c r="D19" i="9" l="1"/>
  <c r="B19" i="9"/>
  <c r="D45" i="8" l="1"/>
  <c r="B45" i="8"/>
  <c r="D42" i="8"/>
  <c r="B40" i="8"/>
  <c r="D39" i="8"/>
  <c r="B39" i="8"/>
  <c r="D38" i="8"/>
  <c r="B38" i="8"/>
  <c r="B37" i="8"/>
  <c r="B31" i="8"/>
  <c r="B30" i="8"/>
  <c r="D29" i="8"/>
  <c r="B29" i="8"/>
  <c r="D27" i="8"/>
  <c r="B27" i="8"/>
  <c r="D20" i="8"/>
  <c r="B20" i="8"/>
  <c r="D19" i="8"/>
  <c r="B19" i="8"/>
  <c r="D18" i="8"/>
  <c r="B18" i="8"/>
  <c r="B16" i="8"/>
  <c r="B12" i="8"/>
  <c r="C66" i="8"/>
  <c r="C63" i="8"/>
  <c r="C62" i="8"/>
  <c r="B31" i="7"/>
  <c r="B39" i="9" l="1"/>
  <c r="D28" i="9"/>
  <c r="B11" i="9" l="1"/>
  <c r="D35" i="9"/>
  <c r="C64" i="9"/>
  <c r="B30" i="9"/>
  <c r="D30" i="9"/>
  <c r="B38" i="9" l="1"/>
  <c r="D38" i="9"/>
  <c r="B54" i="8" l="1"/>
  <c r="D53" i="8"/>
  <c r="B53" i="8"/>
  <c r="F48" i="8"/>
  <c r="D47" i="8"/>
  <c r="D21" i="8"/>
  <c r="B9" i="8"/>
  <c r="B7" i="8"/>
  <c r="B53" i="7" l="1"/>
  <c r="B48" i="7"/>
  <c r="B47" i="7"/>
  <c r="D45" i="7"/>
  <c r="B45" i="7"/>
  <c r="D42" i="7"/>
  <c r="B40" i="7"/>
  <c r="D39" i="7"/>
  <c r="B38" i="7"/>
  <c r="B37" i="7"/>
  <c r="B30" i="7"/>
  <c r="B29" i="7"/>
  <c r="B28" i="7"/>
  <c r="D27" i="7"/>
  <c r="B27" i="7"/>
  <c r="D26" i="7"/>
  <c r="B26" i="7"/>
  <c r="D20" i="7"/>
  <c r="B20" i="7"/>
  <c r="B19" i="7"/>
  <c r="D18" i="7"/>
  <c r="B18" i="7"/>
  <c r="B16" i="7"/>
  <c r="B12" i="7"/>
  <c r="F11" i="7"/>
  <c r="D11" i="7"/>
  <c r="B11" i="7"/>
  <c r="C67" i="7"/>
  <c r="C66" i="7"/>
  <c r="C62" i="7"/>
  <c r="D53" i="6"/>
  <c r="B53" i="6"/>
  <c r="B48" i="6"/>
  <c r="D47" i="6"/>
  <c r="B47" i="6"/>
  <c r="D46" i="6"/>
  <c r="B46" i="6"/>
  <c r="D45" i="6"/>
  <c r="B45" i="6"/>
  <c r="D42" i="6"/>
  <c r="D40" i="6"/>
  <c r="B40" i="6"/>
  <c r="D39" i="6"/>
  <c r="B39" i="6"/>
  <c r="B38" i="6"/>
  <c r="B37" i="6"/>
  <c r="D31" i="6"/>
  <c r="B31" i="6"/>
  <c r="B29" i="6"/>
  <c r="B28" i="6"/>
  <c r="C67" i="6"/>
  <c r="C66" i="6"/>
  <c r="C63" i="6"/>
  <c r="C62" i="6"/>
  <c r="D27" i="6"/>
  <c r="B27" i="6"/>
  <c r="D26" i="6"/>
  <c r="B26" i="6"/>
  <c r="D20" i="6"/>
  <c r="B20" i="6"/>
  <c r="D19" i="6"/>
  <c r="B19" i="6"/>
  <c r="D18" i="6"/>
  <c r="B18" i="6"/>
  <c r="C59" i="6"/>
  <c r="B16" i="6"/>
  <c r="B12" i="6"/>
  <c r="B11" i="6"/>
  <c r="B9" i="6"/>
  <c r="D53" i="5"/>
  <c r="B48" i="5"/>
  <c r="D47" i="5"/>
  <c r="D45" i="5"/>
  <c r="B45" i="5"/>
  <c r="B40" i="5"/>
  <c r="D39" i="5"/>
  <c r="B39" i="5"/>
  <c r="B38" i="5"/>
  <c r="B37" i="5"/>
  <c r="D29" i="5"/>
  <c r="D27" i="5"/>
  <c r="B27" i="5"/>
  <c r="D26" i="5"/>
  <c r="B26" i="5"/>
  <c r="B20" i="5"/>
  <c r="D19" i="5"/>
  <c r="B19" i="5"/>
  <c r="C59" i="5"/>
  <c r="D18" i="5"/>
  <c r="B18" i="5"/>
  <c r="D45" i="4"/>
  <c r="B45" i="4"/>
  <c r="B40" i="4"/>
  <c r="B39" i="4"/>
  <c r="B31" i="4"/>
  <c r="B30" i="4"/>
  <c r="C62" i="4"/>
  <c r="D27" i="4"/>
  <c r="B27" i="4"/>
  <c r="B26" i="4"/>
  <c r="B20" i="4"/>
  <c r="B18" i="4"/>
  <c r="B12" i="4"/>
  <c r="B9" i="4"/>
  <c r="C64" i="8" l="1"/>
  <c r="D31" i="8"/>
  <c r="F31" i="8"/>
  <c r="B54" i="7" l="1"/>
  <c r="D54" i="7"/>
  <c r="D53" i="7"/>
  <c r="D50" i="7"/>
  <c r="D47" i="7"/>
  <c r="D38" i="7"/>
  <c r="D28" i="7" l="1"/>
  <c r="D21" i="7"/>
  <c r="D19" i="7"/>
  <c r="D10" i="7"/>
  <c r="B9" i="7"/>
  <c r="B7" i="7"/>
  <c r="F29" i="7" l="1"/>
  <c r="D40" i="7" l="1"/>
  <c r="C63" i="7" l="1"/>
  <c r="D31" i="7"/>
  <c r="C64" i="7"/>
  <c r="D29" i="7" l="1"/>
  <c r="D12" i="7" l="1"/>
  <c r="B54" i="6" l="1"/>
  <c r="D54" i="6"/>
  <c r="D37" i="6"/>
  <c r="D38" i="6"/>
  <c r="D32" i="6"/>
  <c r="D28" i="6"/>
  <c r="D21" i="6"/>
  <c r="D17" i="6"/>
  <c r="D10" i="6"/>
  <c r="D9" i="6"/>
  <c r="D8" i="6"/>
  <c r="B8" i="6"/>
  <c r="C64" i="6" l="1"/>
  <c r="D29" i="6"/>
  <c r="D53" i="4" l="1"/>
  <c r="D12" i="6" l="1"/>
  <c r="C66" i="5" l="1"/>
  <c r="C62" i="5"/>
  <c r="B53" i="5"/>
  <c r="D42" i="5"/>
  <c r="B31" i="5"/>
  <c r="B30" i="5"/>
  <c r="B29" i="5"/>
  <c r="D20" i="5"/>
  <c r="B16" i="5"/>
  <c r="B12" i="5"/>
  <c r="B9" i="5"/>
  <c r="C66" i="4"/>
  <c r="B53" i="4"/>
  <c r="B47" i="4"/>
  <c r="D42" i="4"/>
  <c r="B38" i="4"/>
  <c r="D29" i="4"/>
  <c r="B29" i="4"/>
  <c r="D20" i="4"/>
  <c r="D19" i="4"/>
  <c r="B19" i="4"/>
  <c r="D18" i="4"/>
  <c r="B16" i="4"/>
  <c r="F48" i="5" l="1"/>
  <c r="D38" i="5" l="1"/>
  <c r="F27" i="5"/>
  <c r="D24" i="5"/>
  <c r="D9" i="5" l="1"/>
  <c r="B7" i="5"/>
  <c r="C64" i="5" l="1"/>
  <c r="D31" i="5"/>
  <c r="B21" i="5"/>
  <c r="D21" i="5"/>
  <c r="C64" i="4" l="1"/>
  <c r="D31" i="4"/>
  <c r="B54" i="4" l="1"/>
  <c r="D47" i="4"/>
  <c r="D38" i="4"/>
  <c r="F27" i="4" l="1"/>
  <c r="D21" i="4"/>
  <c r="D9" i="4"/>
  <c r="B7" i="4"/>
  <c r="C63" i="4" l="1"/>
  <c r="C66" i="3" l="1"/>
  <c r="C62" i="3"/>
  <c r="D53" i="3"/>
  <c r="B53" i="3"/>
  <c r="B45" i="3"/>
  <c r="D42" i="3"/>
  <c r="B40" i="3"/>
  <c r="B39" i="3"/>
  <c r="B38" i="3"/>
  <c r="B37" i="3"/>
  <c r="B31" i="3"/>
  <c r="B30" i="3"/>
  <c r="D29" i="3"/>
  <c r="B29" i="3"/>
  <c r="B28" i="3"/>
  <c r="D27" i="3"/>
  <c r="B27" i="3"/>
  <c r="D26" i="3"/>
  <c r="B20" i="3"/>
  <c r="B19" i="3"/>
  <c r="D18" i="3"/>
  <c r="B18" i="3"/>
  <c r="B16" i="3"/>
  <c r="B12" i="3"/>
  <c r="C66" i="2"/>
  <c r="C62" i="2"/>
  <c r="B53" i="2"/>
  <c r="D45" i="2"/>
  <c r="B45" i="2"/>
  <c r="D42" i="2"/>
  <c r="B40" i="2"/>
  <c r="B39" i="2"/>
  <c r="B38" i="2"/>
  <c r="B37" i="2"/>
  <c r="B31" i="2"/>
  <c r="B30" i="2"/>
  <c r="B29" i="2"/>
  <c r="D27" i="2"/>
  <c r="B27" i="2"/>
  <c r="B20" i="2"/>
  <c r="D19" i="2"/>
  <c r="B19" i="2"/>
  <c r="D18" i="2"/>
  <c r="B18" i="2"/>
  <c r="B16" i="2"/>
  <c r="B12" i="2"/>
  <c r="C66" i="1"/>
  <c r="C62" i="1"/>
  <c r="D53" i="1"/>
  <c r="B53" i="1"/>
  <c r="D45" i="1"/>
  <c r="B45" i="1"/>
  <c r="B40" i="1"/>
  <c r="B37" i="1"/>
  <c r="B31" i="1"/>
  <c r="B30" i="1"/>
  <c r="B29" i="1"/>
  <c r="D27" i="1"/>
  <c r="B27" i="1"/>
  <c r="B20" i="1"/>
  <c r="D19" i="1"/>
  <c r="B19" i="1"/>
  <c r="D18" i="1"/>
  <c r="B18" i="1"/>
  <c r="B16" i="1"/>
  <c r="B12" i="1"/>
  <c r="F29" i="4" l="1"/>
  <c r="B54" i="3" l="1"/>
  <c r="B42" i="3"/>
  <c r="D38" i="3"/>
  <c r="C63" i="3"/>
  <c r="D19" i="3"/>
  <c r="D10" i="3"/>
  <c r="D9" i="3"/>
  <c r="B9" i="3"/>
  <c r="B7" i="3"/>
  <c r="D39" i="3" l="1"/>
  <c r="D20" i="3" l="1"/>
  <c r="D31" i="3" l="1"/>
  <c r="C64" i="3" l="1"/>
  <c r="F29" i="3" l="1"/>
  <c r="B54" i="2" l="1"/>
  <c r="B42" i="2"/>
  <c r="D38" i="2"/>
  <c r="D31" i="2"/>
  <c r="C64" i="2"/>
  <c r="B21" i="2"/>
  <c r="B9" i="2"/>
  <c r="B7" i="2"/>
  <c r="D12" i="2" l="1"/>
  <c r="C63" i="2"/>
  <c r="D29" i="2"/>
  <c r="B54" i="1" l="1"/>
  <c r="D47" i="1"/>
  <c r="B42" i="1"/>
  <c r="D38" i="1"/>
  <c r="B38" i="1"/>
  <c r="C64" i="1"/>
  <c r="D31" i="1"/>
  <c r="F62" i="1"/>
  <c r="D21" i="1"/>
  <c r="B9" i="1"/>
  <c r="B7" i="1"/>
  <c r="C63" i="1"/>
  <c r="F29" i="1" l="1"/>
  <c r="D39" i="1"/>
  <c r="D12" i="1"/>
  <c r="F55" i="2" l="1"/>
  <c r="F55" i="11" l="1"/>
  <c r="E26" i="1"/>
  <c r="E26" i="2" s="1"/>
  <c r="E26" i="3" s="1"/>
  <c r="E26" i="4" s="1"/>
  <c r="E26" i="5" s="1"/>
  <c r="E26" i="6" s="1"/>
  <c r="E26" i="7" s="1"/>
  <c r="E26" i="8" s="1"/>
  <c r="E25" i="9" s="1"/>
  <c r="E25" i="10" s="1"/>
  <c r="E25" i="11" s="1"/>
  <c r="E25" i="12" s="1"/>
  <c r="D62" i="1"/>
  <c r="D62" i="2" s="1"/>
  <c r="D62" i="3" s="1"/>
  <c r="D62" i="4" s="1"/>
  <c r="D62" i="5" s="1"/>
  <c r="D62" i="6" s="1"/>
  <c r="D62" i="7" s="1"/>
  <c r="D62" i="8" s="1"/>
  <c r="D62" i="9" s="1"/>
  <c r="D62" i="10" s="1"/>
  <c r="D62" i="11" s="1"/>
  <c r="D62" i="12" s="1"/>
  <c r="E45" i="1"/>
  <c r="E39" i="1"/>
  <c r="E27" i="1"/>
  <c r="E21" i="1"/>
  <c r="E19" i="1"/>
  <c r="E19" i="2" s="1"/>
  <c r="E19" i="3" s="1"/>
  <c r="E19" i="4" s="1"/>
  <c r="E19" i="5" s="1"/>
  <c r="E19" i="6" s="1"/>
  <c r="E19" i="7" s="1"/>
  <c r="E19" i="8" s="1"/>
  <c r="E18" i="9" s="1"/>
  <c r="E18" i="10" s="1"/>
  <c r="E18" i="11" s="1"/>
  <c r="E18" i="12" s="1"/>
  <c r="C48" i="1"/>
  <c r="C27" i="1"/>
  <c r="C27" i="2" s="1"/>
  <c r="C54" i="1"/>
  <c r="C38" i="1"/>
  <c r="C18" i="1"/>
  <c r="C18" i="2" s="1"/>
  <c r="C18" i="3" s="1"/>
  <c r="C18" i="4" s="1"/>
  <c r="C18" i="5" s="1"/>
  <c r="C18" i="6" s="1"/>
  <c r="C18" i="7" s="1"/>
  <c r="C18" i="8" s="1"/>
  <c r="C17" i="9" s="1"/>
  <c r="C17" i="10" s="1"/>
  <c r="C17" i="11" s="1"/>
  <c r="C17" i="12" s="1"/>
  <c r="G11" i="1"/>
  <c r="G11" i="2" s="1"/>
  <c r="G11" i="3" s="1"/>
  <c r="G11" i="4" s="1"/>
  <c r="G11" i="5" s="1"/>
  <c r="G11" i="6" s="1"/>
  <c r="G11" i="7" s="1"/>
  <c r="G11" i="8" s="1"/>
  <c r="G54" i="9" s="1"/>
  <c r="G54" i="10" s="1"/>
  <c r="G54" i="11" s="1"/>
  <c r="G54" i="12" s="1"/>
  <c r="C17" i="1"/>
  <c r="C17" i="2" s="1"/>
  <c r="C17" i="3" s="1"/>
  <c r="C17" i="4" s="1"/>
  <c r="C17" i="5" s="1"/>
  <c r="C17" i="6" s="1"/>
  <c r="C17" i="7" s="1"/>
  <c r="C17" i="8" s="1"/>
  <c r="C16" i="9" s="1"/>
  <c r="C16" i="1"/>
  <c r="C16" i="2" s="1"/>
  <c r="C16" i="3" s="1"/>
  <c r="C16" i="4" s="1"/>
  <c r="C16" i="5" s="1"/>
  <c r="C16" i="6" s="1"/>
  <c r="C16" i="7" s="1"/>
  <c r="C16" i="8" s="1"/>
  <c r="C15" i="9" s="1"/>
  <c r="C15" i="10" s="1"/>
  <c r="C15" i="11" s="1"/>
  <c r="C15" i="12" s="1"/>
  <c r="C8" i="1"/>
  <c r="C8" i="2" s="1"/>
  <c r="C8" i="3" s="1"/>
  <c r="C8" i="4" s="1"/>
  <c r="C8" i="5" s="1"/>
  <c r="C8" i="6" s="1"/>
  <c r="C8" i="7" s="1"/>
  <c r="C8" i="8" s="1"/>
  <c r="C8" i="9" s="1"/>
  <c r="C8" i="10" s="1"/>
  <c r="C8" i="11" s="1"/>
  <c r="C8" i="12" s="1"/>
  <c r="D63" i="1"/>
  <c r="D63" i="2" s="1"/>
  <c r="D63" i="3" s="1"/>
  <c r="D63" i="4" s="1"/>
  <c r="D63" i="5" s="1"/>
  <c r="D63" i="6" s="1"/>
  <c r="D63" i="7" s="1"/>
  <c r="D63" i="8" s="1"/>
  <c r="D63" i="9" s="1"/>
  <c r="D63" i="10" s="1"/>
  <c r="D63" i="11" s="1"/>
  <c r="D63" i="12" s="1"/>
  <c r="E27" i="2"/>
  <c r="E27" i="3" s="1"/>
  <c r="E27" i="4" s="1"/>
  <c r="E27" i="5" s="1"/>
  <c r="E27" i="6" s="1"/>
  <c r="E27" i="7" s="1"/>
  <c r="E27" i="8" s="1"/>
  <c r="E26" i="9" s="1"/>
  <c r="E26" i="10" s="1"/>
  <c r="E26" i="11" s="1"/>
  <c r="E26" i="12" s="1"/>
  <c r="D64" i="1"/>
  <c r="D64" i="2" s="1"/>
  <c r="D64" i="3" s="1"/>
  <c r="D64" i="4" s="1"/>
  <c r="D64" i="5" s="1"/>
  <c r="D64" i="6" s="1"/>
  <c r="D64" i="7" s="1"/>
  <c r="D64" i="8" s="1"/>
  <c r="D64" i="9" s="1"/>
  <c r="D64" i="10" s="1"/>
  <c r="D64" i="11" s="1"/>
  <c r="D64" i="12" s="1"/>
  <c r="C21" i="1"/>
  <c r="C21" i="2"/>
  <c r="C21" i="3" s="1"/>
  <c r="C21" i="4" s="1"/>
  <c r="C21" i="5" s="1"/>
  <c r="C21" i="6" s="1"/>
  <c r="C21" i="7" s="1"/>
  <c r="C21" i="8" s="1"/>
  <c r="C20" i="9" s="1"/>
  <c r="C20" i="10" s="1"/>
  <c r="C20" i="11" s="1"/>
  <c r="C20" i="12" s="1"/>
  <c r="C47" i="1"/>
  <c r="C47" i="2" s="1"/>
  <c r="C47" i="3" s="1"/>
  <c r="C47" i="4" s="1"/>
  <c r="C47" i="5" s="1"/>
  <c r="C47" i="6" s="1"/>
  <c r="C47" i="7" s="1"/>
  <c r="C47" i="8" s="1"/>
  <c r="C46" i="9" s="1"/>
  <c r="C46" i="10" s="1"/>
  <c r="C46" i="11" s="1"/>
  <c r="C46" i="12" s="1"/>
  <c r="C7" i="1"/>
  <c r="E7" i="1"/>
  <c r="E7" i="2" s="1"/>
  <c r="E7" i="3" s="1"/>
  <c r="E7" i="4" s="1"/>
  <c r="E7" i="5" s="1"/>
  <c r="E7" i="6" s="1"/>
  <c r="E7" i="7" s="1"/>
  <c r="E7" i="8" s="1"/>
  <c r="E7" i="9" s="1"/>
  <c r="E7" i="10" s="1"/>
  <c r="E7" i="11" s="1"/>
  <c r="E7" i="12" s="1"/>
  <c r="G7" i="1"/>
  <c r="E8" i="1"/>
  <c r="E8" i="2" s="1"/>
  <c r="E8" i="3" s="1"/>
  <c r="E8" i="4" s="1"/>
  <c r="E8" i="5" s="1"/>
  <c r="E8" i="6" s="1"/>
  <c r="E8" i="7" s="1"/>
  <c r="E8" i="8" s="1"/>
  <c r="E8" i="9" s="1"/>
  <c r="E8" i="10" s="1"/>
  <c r="E8" i="11" s="1"/>
  <c r="E8" i="12" s="1"/>
  <c r="G8" i="1"/>
  <c r="C9" i="1"/>
  <c r="C9" i="2" s="1"/>
  <c r="C9" i="3" s="1"/>
  <c r="C9" i="4" s="1"/>
  <c r="C9" i="5" s="1"/>
  <c r="C9" i="6" s="1"/>
  <c r="C9" i="7" s="1"/>
  <c r="C9" i="8" s="1"/>
  <c r="C9" i="9" s="1"/>
  <c r="C9" i="10" s="1"/>
  <c r="C9" i="11" s="1"/>
  <c r="C9" i="12" s="1"/>
  <c r="E9" i="1"/>
  <c r="G9" i="1"/>
  <c r="G9" i="2" s="1"/>
  <c r="G9" i="3" s="1"/>
  <c r="G9" i="4" s="1"/>
  <c r="G9" i="5" s="1"/>
  <c r="G9" i="6" s="1"/>
  <c r="G9" i="7" s="1"/>
  <c r="G9" i="8" s="1"/>
  <c r="G9" i="9" s="1"/>
  <c r="G9" i="10" s="1"/>
  <c r="G9" i="11" s="1"/>
  <c r="G9" i="12" s="1"/>
  <c r="C10" i="1"/>
  <c r="E10" i="1"/>
  <c r="E10" i="2" s="1"/>
  <c r="E10" i="3" s="1"/>
  <c r="E10" i="4" s="1"/>
  <c r="E10" i="5" s="1"/>
  <c r="E10" i="6" s="1"/>
  <c r="E10" i="7" s="1"/>
  <c r="E10" i="8" s="1"/>
  <c r="E10" i="9" s="1"/>
  <c r="E10" i="10" s="1"/>
  <c r="E10" i="11" s="1"/>
  <c r="E10" i="12" s="1"/>
  <c r="G10" i="1"/>
  <c r="C12" i="1"/>
  <c r="C12" i="2" s="1"/>
  <c r="C12" i="3" s="1"/>
  <c r="C12" i="4" s="1"/>
  <c r="C12" i="5" s="1"/>
  <c r="C12" i="6" s="1"/>
  <c r="C12" i="7" s="1"/>
  <c r="C12" i="8" s="1"/>
  <c r="C11" i="9" s="1"/>
  <c r="C11" i="10" s="1"/>
  <c r="C11" i="11" s="1"/>
  <c r="C11" i="12" s="1"/>
  <c r="E12" i="1"/>
  <c r="G12" i="1"/>
  <c r="G12" i="2" s="1"/>
  <c r="G12" i="3" s="1"/>
  <c r="G12" i="4" s="1"/>
  <c r="G12" i="5" s="1"/>
  <c r="G12" i="6" s="1"/>
  <c r="G12" i="7" s="1"/>
  <c r="G12" i="8" s="1"/>
  <c r="G11" i="9" s="1"/>
  <c r="G11" i="10" s="1"/>
  <c r="G11" i="11" s="1"/>
  <c r="G11" i="12" s="1"/>
  <c r="C13" i="1"/>
  <c r="E13" i="1"/>
  <c r="E13" i="2" s="1"/>
  <c r="G13" i="1"/>
  <c r="C14" i="1"/>
  <c r="C14" i="2" s="1"/>
  <c r="C14" i="3" s="1"/>
  <c r="C14" i="4" s="1"/>
  <c r="E14" i="1"/>
  <c r="G14" i="1"/>
  <c r="G14" i="2" s="1"/>
  <c r="G14" i="3" s="1"/>
  <c r="G14" i="4" s="1"/>
  <c r="G14" i="5" s="1"/>
  <c r="G14" i="6" s="1"/>
  <c r="G14" i="7" s="1"/>
  <c r="G14" i="8" s="1"/>
  <c r="G13" i="9" s="1"/>
  <c r="G13" i="10" s="1"/>
  <c r="G13" i="11" s="1"/>
  <c r="G13" i="12" s="1"/>
  <c r="C15" i="1"/>
  <c r="E15" i="1"/>
  <c r="E15" i="2" s="1"/>
  <c r="E15" i="3" s="1"/>
  <c r="E15" i="4" s="1"/>
  <c r="E15" i="5" s="1"/>
  <c r="E15" i="6" s="1"/>
  <c r="E15" i="7" s="1"/>
  <c r="E15" i="8" s="1"/>
  <c r="E14" i="9" s="1"/>
  <c r="E14" i="10" s="1"/>
  <c r="E14" i="11" s="1"/>
  <c r="E14" i="12" s="1"/>
  <c r="G15" i="1"/>
  <c r="E16" i="1"/>
  <c r="E16" i="2" s="1"/>
  <c r="G16" i="1"/>
  <c r="E17" i="1"/>
  <c r="E17" i="2" s="1"/>
  <c r="E17" i="3" s="1"/>
  <c r="E17" i="4" s="1"/>
  <c r="E17" i="5" s="1"/>
  <c r="E17" i="6" s="1"/>
  <c r="E17" i="7" s="1"/>
  <c r="E17" i="8" s="1"/>
  <c r="E16" i="9" s="1"/>
  <c r="E16" i="10" s="1"/>
  <c r="G17" i="1"/>
  <c r="E18" i="1"/>
  <c r="E18" i="2" s="1"/>
  <c r="E18" i="3" s="1"/>
  <c r="E18" i="4" s="1"/>
  <c r="E18" i="5" s="1"/>
  <c r="E18" i="6" s="1"/>
  <c r="E18" i="7" s="1"/>
  <c r="E18" i="8" s="1"/>
  <c r="E17" i="9" s="1"/>
  <c r="E17" i="10" s="1"/>
  <c r="E17" i="11" s="1"/>
  <c r="E17" i="12" s="1"/>
  <c r="G18" i="1"/>
  <c r="C19" i="1"/>
  <c r="C19" i="2" s="1"/>
  <c r="C19" i="3" s="1"/>
  <c r="C19" i="4" s="1"/>
  <c r="C19" i="5" s="1"/>
  <c r="G19" i="1"/>
  <c r="C20" i="1"/>
  <c r="C20" i="2" s="1"/>
  <c r="C20" i="3" s="1"/>
  <c r="C20" i="4" s="1"/>
  <c r="C20" i="5" s="1"/>
  <c r="C20" i="6" s="1"/>
  <c r="C20" i="7" s="1"/>
  <c r="C20" i="8" s="1"/>
  <c r="C19" i="9" s="1"/>
  <c r="C19" i="10" s="1"/>
  <c r="C19" i="11" s="1"/>
  <c r="C19" i="12" s="1"/>
  <c r="E20" i="1"/>
  <c r="G20" i="1"/>
  <c r="G20" i="2" s="1"/>
  <c r="G20" i="3" s="1"/>
  <c r="G20" i="4" s="1"/>
  <c r="G20" i="5" s="1"/>
  <c r="G20" i="6" s="1"/>
  <c r="G20" i="7" s="1"/>
  <c r="G20" i="8" s="1"/>
  <c r="G19" i="9" s="1"/>
  <c r="G19" i="10" s="1"/>
  <c r="G19" i="11" s="1"/>
  <c r="G19" i="12" s="1"/>
  <c r="G21" i="1"/>
  <c r="G21" i="2" s="1"/>
  <c r="G21" i="3" s="1"/>
  <c r="G21" i="4" s="1"/>
  <c r="G21" i="5" s="1"/>
  <c r="G21" i="6" s="1"/>
  <c r="G21" i="7" s="1"/>
  <c r="G21" i="8" s="1"/>
  <c r="G20" i="9" s="1"/>
  <c r="G20" i="10" s="1"/>
  <c r="G20" i="11" s="1"/>
  <c r="G20" i="12" s="1"/>
  <c r="C22" i="1"/>
  <c r="E22" i="1"/>
  <c r="E22" i="2" s="1"/>
  <c r="G22" i="1"/>
  <c r="G22" i="2" s="1"/>
  <c r="G22" i="3" s="1"/>
  <c r="G22" i="4" s="1"/>
  <c r="G22" i="5" s="1"/>
  <c r="G22" i="6" s="1"/>
  <c r="G22" i="7" s="1"/>
  <c r="G22" i="8" s="1"/>
  <c r="G21" i="9" s="1"/>
  <c r="G21" i="10" s="1"/>
  <c r="G21" i="11" s="1"/>
  <c r="G21" i="12" s="1"/>
  <c r="C23" i="1"/>
  <c r="C23" i="2" s="1"/>
  <c r="C23" i="3" s="1"/>
  <c r="C23" i="4" s="1"/>
  <c r="E23" i="1"/>
  <c r="G23" i="1"/>
  <c r="G23" i="2" s="1"/>
  <c r="C24" i="1"/>
  <c r="C24" i="2" s="1"/>
  <c r="C24" i="3" s="1"/>
  <c r="C24" i="4" s="1"/>
  <c r="C24" i="5" s="1"/>
  <c r="C24" i="6" s="1"/>
  <c r="C24" i="7" s="1"/>
  <c r="C24" i="8" s="1"/>
  <c r="C23" i="9" s="1"/>
  <c r="C23" i="10" s="1"/>
  <c r="C23" i="11" s="1"/>
  <c r="C23" i="12" s="1"/>
  <c r="E24" i="1"/>
  <c r="E24" i="2" s="1"/>
  <c r="E24" i="3" s="1"/>
  <c r="E24" i="4" s="1"/>
  <c r="E24" i="5" s="1"/>
  <c r="E24" i="6" s="1"/>
  <c r="E24" i="7" s="1"/>
  <c r="E24" i="8" s="1"/>
  <c r="E23" i="9" s="1"/>
  <c r="E23" i="10" s="1"/>
  <c r="E23" i="11" s="1"/>
  <c r="E23" i="12" s="1"/>
  <c r="G24" i="1"/>
  <c r="C25" i="1"/>
  <c r="C25" i="2" s="1"/>
  <c r="E25" i="1"/>
  <c r="E25" i="2" s="1"/>
  <c r="G25" i="1"/>
  <c r="G25" i="2" s="1"/>
  <c r="G25" i="3" s="1"/>
  <c r="G25" i="4" s="1"/>
  <c r="C26" i="1"/>
  <c r="C26" i="2" s="1"/>
  <c r="C26" i="3" s="1"/>
  <c r="C26" i="4" s="1"/>
  <c r="C26" i="5" s="1"/>
  <c r="C26" i="6" s="1"/>
  <c r="C26" i="7" s="1"/>
  <c r="C26" i="8" s="1"/>
  <c r="C25" i="9" s="1"/>
  <c r="C25" i="10" s="1"/>
  <c r="C25" i="11" s="1"/>
  <c r="C25" i="12" s="1"/>
  <c r="G26" i="1"/>
  <c r="G26" i="2" s="1"/>
  <c r="G27" i="1"/>
  <c r="C28" i="1"/>
  <c r="C28" i="2" s="1"/>
  <c r="E28" i="1"/>
  <c r="G28" i="1"/>
  <c r="G28" i="2" s="1"/>
  <c r="C29" i="1"/>
  <c r="C29" i="2" s="1"/>
  <c r="C29" i="3" s="1"/>
  <c r="C29" i="4" s="1"/>
  <c r="C29" i="5" s="1"/>
  <c r="C29" i="6" s="1"/>
  <c r="C29" i="7" s="1"/>
  <c r="C29" i="8" s="1"/>
  <c r="C28" i="9" s="1"/>
  <c r="C28" i="10" s="1"/>
  <c r="C28" i="11" s="1"/>
  <c r="C28" i="12" s="1"/>
  <c r="E29" i="1"/>
  <c r="G29" i="1"/>
  <c r="G29" i="2" s="1"/>
  <c r="G29" i="3" s="1"/>
  <c r="G29" i="4" s="1"/>
  <c r="G29" i="5" s="1"/>
  <c r="G29" i="6" s="1"/>
  <c r="G29" i="7" s="1"/>
  <c r="G29" i="8" s="1"/>
  <c r="G28" i="9" s="1"/>
  <c r="G28" i="10" s="1"/>
  <c r="G28" i="11" s="1"/>
  <c r="G28" i="12" s="1"/>
  <c r="C30" i="1"/>
  <c r="C30" i="2" s="1"/>
  <c r="C30" i="3" s="1"/>
  <c r="C30" i="4" s="1"/>
  <c r="C30" i="5" s="1"/>
  <c r="C30" i="6" s="1"/>
  <c r="C30" i="7" s="1"/>
  <c r="C30" i="8" s="1"/>
  <c r="C29" i="9" s="1"/>
  <c r="C29" i="10" s="1"/>
  <c r="C29" i="11" s="1"/>
  <c r="C29" i="12" s="1"/>
  <c r="E30" i="1"/>
  <c r="E30" i="2" s="1"/>
  <c r="E30" i="3" s="1"/>
  <c r="E30" i="4" s="1"/>
  <c r="G30" i="1"/>
  <c r="C31" i="1"/>
  <c r="C31" i="2" s="1"/>
  <c r="C31" i="3" s="1"/>
  <c r="C31" i="4" s="1"/>
  <c r="E31" i="1"/>
  <c r="E31" i="2" s="1"/>
  <c r="G31" i="1"/>
  <c r="G31" i="2" s="1"/>
  <c r="G31" i="3" s="1"/>
  <c r="G31" i="4" s="1"/>
  <c r="G31" i="5" s="1"/>
  <c r="G31" i="6" s="1"/>
  <c r="G31" i="7" s="1"/>
  <c r="G31" i="8" s="1"/>
  <c r="G30" i="9" s="1"/>
  <c r="G30" i="10" s="1"/>
  <c r="G30" i="11" s="1"/>
  <c r="G30" i="12" s="1"/>
  <c r="C32" i="1"/>
  <c r="E32" i="1"/>
  <c r="E32" i="2" s="1"/>
  <c r="G32" i="1"/>
  <c r="G32" i="2" s="1"/>
  <c r="C33" i="1"/>
  <c r="C33" i="2" s="1"/>
  <c r="C33" i="3" s="1"/>
  <c r="C33" i="4" s="1"/>
  <c r="E33" i="1"/>
  <c r="G33" i="1"/>
  <c r="G33" i="2" s="1"/>
  <c r="G33" i="3" s="1"/>
  <c r="G33" i="4" s="1"/>
  <c r="G33" i="5" s="1"/>
  <c r="G33" i="6" s="1"/>
  <c r="G33" i="7" s="1"/>
  <c r="G33" i="8" s="1"/>
  <c r="G32" i="9" s="1"/>
  <c r="G32" i="10" s="1"/>
  <c r="G32" i="11" s="1"/>
  <c r="G32" i="12" s="1"/>
  <c r="C34" i="1"/>
  <c r="C34" i="2" s="1"/>
  <c r="E34" i="1"/>
  <c r="E34" i="2" s="1"/>
  <c r="E34" i="3" s="1"/>
  <c r="E34" i="4" s="1"/>
  <c r="E34" i="5" s="1"/>
  <c r="E34" i="6" s="1"/>
  <c r="E34" i="7" s="1"/>
  <c r="E34" i="8" s="1"/>
  <c r="E33" i="9" s="1"/>
  <c r="E33" i="10" s="1"/>
  <c r="E33" i="11" s="1"/>
  <c r="E33" i="12" s="1"/>
  <c r="G34" i="1"/>
  <c r="C35" i="1"/>
  <c r="C35" i="2" s="1"/>
  <c r="C35" i="3" s="1"/>
  <c r="C35" i="4" s="1"/>
  <c r="C35" i="5" s="1"/>
  <c r="C35" i="6" s="1"/>
  <c r="C35" i="7" s="1"/>
  <c r="C35" i="8" s="1"/>
  <c r="C34" i="9" s="1"/>
  <c r="C34" i="10" s="1"/>
  <c r="C34" i="11" s="1"/>
  <c r="C34" i="12" s="1"/>
  <c r="E35" i="1"/>
  <c r="E35" i="2" s="1"/>
  <c r="G35" i="1"/>
  <c r="G35" i="2" s="1"/>
  <c r="G35" i="3" s="1"/>
  <c r="G35" i="4" s="1"/>
  <c r="C36" i="1"/>
  <c r="E36" i="1"/>
  <c r="E36" i="2" s="1"/>
  <c r="E36" i="3" s="1"/>
  <c r="E36" i="4" s="1"/>
  <c r="E36" i="5" s="1"/>
  <c r="E36" i="6" s="1"/>
  <c r="E36" i="7" s="1"/>
  <c r="E36" i="8" s="1"/>
  <c r="E35" i="9" s="1"/>
  <c r="E35" i="10" s="1"/>
  <c r="E35" i="11" s="1"/>
  <c r="E35" i="12" s="1"/>
  <c r="G36" i="1"/>
  <c r="G36" i="2" s="1"/>
  <c r="C37" i="1"/>
  <c r="C37" i="2" s="1"/>
  <c r="C37" i="3" s="1"/>
  <c r="C37" i="4" s="1"/>
  <c r="C37" i="5" s="1"/>
  <c r="C37" i="6" s="1"/>
  <c r="C37" i="7" s="1"/>
  <c r="C37" i="8" s="1"/>
  <c r="C36" i="9" s="1"/>
  <c r="C36" i="10" s="1"/>
  <c r="C36" i="11" s="1"/>
  <c r="C36" i="12" s="1"/>
  <c r="E37" i="1"/>
  <c r="E37" i="2" s="1"/>
  <c r="E37" i="3" s="1"/>
  <c r="E37" i="4" s="1"/>
  <c r="E37" i="5" s="1"/>
  <c r="E37" i="6" s="1"/>
  <c r="E37" i="7" s="1"/>
  <c r="E37" i="8" s="1"/>
  <c r="E36" i="9" s="1"/>
  <c r="E36" i="10" s="1"/>
  <c r="E36" i="11" s="1"/>
  <c r="E36" i="12" s="1"/>
  <c r="G37" i="1"/>
  <c r="G37" i="2" s="1"/>
  <c r="G37" i="3" s="1"/>
  <c r="G37" i="4" s="1"/>
  <c r="G37" i="5" s="1"/>
  <c r="G37" i="6" s="1"/>
  <c r="G37" i="7" s="1"/>
  <c r="G37" i="8" s="1"/>
  <c r="G36" i="9" s="1"/>
  <c r="G36" i="10" s="1"/>
  <c r="G36" i="11" s="1"/>
  <c r="G36" i="12" s="1"/>
  <c r="E38" i="1"/>
  <c r="E38" i="2" s="1"/>
  <c r="G38" i="1"/>
  <c r="C39" i="1"/>
  <c r="C39" i="2" s="1"/>
  <c r="C39" i="3" s="1"/>
  <c r="C39" i="4" s="1"/>
  <c r="C39" i="5" s="1"/>
  <c r="C39" i="6" s="1"/>
  <c r="C39" i="7" s="1"/>
  <c r="C39" i="8" s="1"/>
  <c r="C38" i="9" s="1"/>
  <c r="C38" i="10" s="1"/>
  <c r="C38" i="11" s="1"/>
  <c r="C38" i="12" s="1"/>
  <c r="G39" i="1"/>
  <c r="G39" i="2" s="1"/>
  <c r="G39" i="3" s="1"/>
  <c r="G39" i="4" s="1"/>
  <c r="G39" i="5" s="1"/>
  <c r="G39" i="6" s="1"/>
  <c r="G39" i="7" s="1"/>
  <c r="G39" i="8" s="1"/>
  <c r="G38" i="9" s="1"/>
  <c r="G38" i="10" s="1"/>
  <c r="G38" i="11" s="1"/>
  <c r="G38" i="12" s="1"/>
  <c r="C40" i="1"/>
  <c r="C40" i="2" s="1"/>
  <c r="C40" i="3" s="1"/>
  <c r="C40" i="4" s="1"/>
  <c r="C40" i="5" s="1"/>
  <c r="C40" i="6" s="1"/>
  <c r="C40" i="7" s="1"/>
  <c r="C40" i="8" s="1"/>
  <c r="C39" i="9" s="1"/>
  <c r="C39" i="10" s="1"/>
  <c r="C39" i="11" s="1"/>
  <c r="C39" i="12" s="1"/>
  <c r="E40" i="1"/>
  <c r="E40" i="2" s="1"/>
  <c r="G40" i="1"/>
  <c r="G40" i="2" s="1"/>
  <c r="C41" i="1"/>
  <c r="C41" i="2" s="1"/>
  <c r="E41" i="1"/>
  <c r="E41" i="2" s="1"/>
  <c r="G41" i="1"/>
  <c r="G41" i="2" s="1"/>
  <c r="G41" i="3" s="1"/>
  <c r="G41" i="4" s="1"/>
  <c r="C42" i="1"/>
  <c r="C42" i="2" s="1"/>
  <c r="E42" i="1"/>
  <c r="E42" i="2" s="1"/>
  <c r="E42" i="3" s="1"/>
  <c r="E42" i="4" s="1"/>
  <c r="E42" i="5" s="1"/>
  <c r="E42" i="6" s="1"/>
  <c r="E42" i="7" s="1"/>
  <c r="E42" i="8" s="1"/>
  <c r="E41" i="9" s="1"/>
  <c r="E41" i="10" s="1"/>
  <c r="E41" i="11" s="1"/>
  <c r="E41" i="12" s="1"/>
  <c r="G42" i="1"/>
  <c r="C43" i="1"/>
  <c r="C43" i="2" s="1"/>
  <c r="C43" i="3" s="1"/>
  <c r="C43" i="4" s="1"/>
  <c r="E43" i="1"/>
  <c r="E43" i="2" s="1"/>
  <c r="G43" i="1"/>
  <c r="G43" i="2" s="1"/>
  <c r="G43" i="3" s="1"/>
  <c r="G43" i="4" s="1"/>
  <c r="G43" i="5" s="1"/>
  <c r="G43" i="6" s="1"/>
  <c r="G43" i="7" s="1"/>
  <c r="G43" i="8" s="1"/>
  <c r="G42" i="9" s="1"/>
  <c r="G42" i="10" s="1"/>
  <c r="G42" i="11" s="1"/>
  <c r="G42" i="12" s="1"/>
  <c r="C44" i="1"/>
  <c r="C44" i="2" s="1"/>
  <c r="C44" i="3" s="1"/>
  <c r="C44" i="4" s="1"/>
  <c r="C44" i="5" s="1"/>
  <c r="C44" i="6" s="1"/>
  <c r="C44" i="7" s="1"/>
  <c r="C44" i="8" s="1"/>
  <c r="C43" i="9" s="1"/>
  <c r="C43" i="10" s="1"/>
  <c r="C43" i="11" s="1"/>
  <c r="C43" i="12" s="1"/>
  <c r="E44" i="1"/>
  <c r="E44" i="2" s="1"/>
  <c r="E44" i="3" s="1"/>
  <c r="E44" i="4" s="1"/>
  <c r="G44" i="1"/>
  <c r="G44" i="2" s="1"/>
  <c r="C45" i="1"/>
  <c r="C45" i="2" s="1"/>
  <c r="C45" i="3" s="1"/>
  <c r="C45" i="4" s="1"/>
  <c r="C45" i="5" s="1"/>
  <c r="C45" i="6" s="1"/>
  <c r="C45" i="7" s="1"/>
  <c r="C45" i="8" s="1"/>
  <c r="C44" i="9" s="1"/>
  <c r="C44" i="10" s="1"/>
  <c r="C44" i="11" s="1"/>
  <c r="C44" i="12" s="1"/>
  <c r="G45" i="1"/>
  <c r="G45" i="2" s="1"/>
  <c r="G45" i="3" s="1"/>
  <c r="G45" i="4" s="1"/>
  <c r="G45" i="5" s="1"/>
  <c r="G45" i="6" s="1"/>
  <c r="G45" i="7" s="1"/>
  <c r="G45" i="8" s="1"/>
  <c r="G44" i="9" s="1"/>
  <c r="G44" i="10" s="1"/>
  <c r="G44" i="11" s="1"/>
  <c r="G44" i="12" s="1"/>
  <c r="C46" i="1"/>
  <c r="C46" i="2" s="1"/>
  <c r="C46" i="3" s="1"/>
  <c r="C46" i="4" s="1"/>
  <c r="C46" i="5" s="1"/>
  <c r="C46" i="6" s="1"/>
  <c r="C46" i="7" s="1"/>
  <c r="C46" i="8" s="1"/>
  <c r="C45" i="9" s="1"/>
  <c r="C45" i="10" s="1"/>
  <c r="C45" i="11" s="1"/>
  <c r="C45" i="12" s="1"/>
  <c r="E46" i="1"/>
  <c r="E46" i="2" s="1"/>
  <c r="E46" i="3" s="1"/>
  <c r="E46" i="4" s="1"/>
  <c r="E46" i="5" s="1"/>
  <c r="E46" i="6" s="1"/>
  <c r="E46" i="7" s="1"/>
  <c r="E46" i="8" s="1"/>
  <c r="E45" i="9" s="1"/>
  <c r="E45" i="10" s="1"/>
  <c r="E45" i="11" s="1"/>
  <c r="E45" i="12" s="1"/>
  <c r="G46" i="1"/>
  <c r="E47" i="1"/>
  <c r="E47" i="2" s="1"/>
  <c r="E47" i="3" s="1"/>
  <c r="E47" i="4" s="1"/>
  <c r="E47" i="5" s="1"/>
  <c r="E47" i="6" s="1"/>
  <c r="E47" i="7" s="1"/>
  <c r="E47" i="8" s="1"/>
  <c r="E46" i="9" s="1"/>
  <c r="E46" i="10" s="1"/>
  <c r="E46" i="11" s="1"/>
  <c r="E46" i="12" s="1"/>
  <c r="G47" i="1"/>
  <c r="G47" i="2" s="1"/>
  <c r="G47" i="3" s="1"/>
  <c r="G47" i="4" s="1"/>
  <c r="G47" i="5" s="1"/>
  <c r="G47" i="6" s="1"/>
  <c r="G47" i="7" s="1"/>
  <c r="G47" i="8" s="1"/>
  <c r="G46" i="9" s="1"/>
  <c r="G46" i="10" s="1"/>
  <c r="G46" i="11" s="1"/>
  <c r="G46" i="12" s="1"/>
  <c r="E48" i="1"/>
  <c r="E48" i="2" s="1"/>
  <c r="E48" i="3" s="1"/>
  <c r="E48" i="4" s="1"/>
  <c r="E48" i="5" s="1"/>
  <c r="E48" i="6" s="1"/>
  <c r="E48" i="7" s="1"/>
  <c r="E48" i="8" s="1"/>
  <c r="E47" i="9" s="1"/>
  <c r="E47" i="10" s="1"/>
  <c r="E47" i="11" s="1"/>
  <c r="E47" i="12" s="1"/>
  <c r="G48" i="1"/>
  <c r="G48" i="2" s="1"/>
  <c r="G48" i="3" s="1"/>
  <c r="G48" i="4" s="1"/>
  <c r="G48" i="5" s="1"/>
  <c r="G48" i="6" s="1"/>
  <c r="G48" i="7" s="1"/>
  <c r="G48" i="8" s="1"/>
  <c r="G47" i="9" s="1"/>
  <c r="G47" i="10" s="1"/>
  <c r="G47" i="11" s="1"/>
  <c r="G47" i="12" s="1"/>
  <c r="C49" i="1"/>
  <c r="E49" i="1"/>
  <c r="E49" i="2" s="1"/>
  <c r="G49" i="1"/>
  <c r="G49" i="2" s="1"/>
  <c r="G49" i="3" s="1"/>
  <c r="G49" i="4" s="1"/>
  <c r="G49" i="5" s="1"/>
  <c r="G49" i="6" s="1"/>
  <c r="G49" i="7" s="1"/>
  <c r="G49" i="8" s="1"/>
  <c r="G48" i="9" s="1"/>
  <c r="G48" i="10" s="1"/>
  <c r="G48" i="11" s="1"/>
  <c r="G48" i="12" s="1"/>
  <c r="C50" i="1"/>
  <c r="C50" i="2" s="1"/>
  <c r="C50" i="3" s="1"/>
  <c r="C50" i="4" s="1"/>
  <c r="C50" i="5" s="1"/>
  <c r="C50" i="6" s="1"/>
  <c r="C50" i="7" s="1"/>
  <c r="C50" i="8" s="1"/>
  <c r="C49" i="9" s="1"/>
  <c r="C49" i="10" s="1"/>
  <c r="C49" i="11" s="1"/>
  <c r="C49" i="12" s="1"/>
  <c r="E50" i="1"/>
  <c r="E50" i="2" s="1"/>
  <c r="E50" i="3" s="1"/>
  <c r="E50" i="4" s="1"/>
  <c r="E50" i="5" s="1"/>
  <c r="E50" i="6" s="1"/>
  <c r="E50" i="7" s="1"/>
  <c r="E50" i="8" s="1"/>
  <c r="E49" i="9" s="1"/>
  <c r="E49" i="10" s="1"/>
  <c r="E49" i="11" s="1"/>
  <c r="E49" i="12" s="1"/>
  <c r="G50" i="1"/>
  <c r="G50" i="2" s="1"/>
  <c r="C51" i="1"/>
  <c r="C51" i="2" s="1"/>
  <c r="C51" i="3" s="1"/>
  <c r="C51" i="4" s="1"/>
  <c r="C51" i="5" s="1"/>
  <c r="C51" i="6" s="1"/>
  <c r="C51" i="7" s="1"/>
  <c r="C51" i="8" s="1"/>
  <c r="C50" i="9" s="1"/>
  <c r="C50" i="10" s="1"/>
  <c r="C50" i="11" s="1"/>
  <c r="C50" i="12" s="1"/>
  <c r="E51" i="1"/>
  <c r="E51" i="2" s="1"/>
  <c r="E51" i="3" s="1"/>
  <c r="E51" i="4" s="1"/>
  <c r="E51" i="5" s="1"/>
  <c r="E51" i="6" s="1"/>
  <c r="E51" i="7" s="1"/>
  <c r="E51" i="8" s="1"/>
  <c r="E50" i="9" s="1"/>
  <c r="E50" i="10" s="1"/>
  <c r="E50" i="11" s="1"/>
  <c r="E50" i="12" s="1"/>
  <c r="G51" i="1"/>
  <c r="C52" i="1"/>
  <c r="C52" i="2" s="1"/>
  <c r="C52" i="3" s="1"/>
  <c r="C52" i="4" s="1"/>
  <c r="C52" i="5" s="1"/>
  <c r="C52" i="6" s="1"/>
  <c r="C52" i="7" s="1"/>
  <c r="C52" i="8" s="1"/>
  <c r="C51" i="9" s="1"/>
  <c r="C51" i="10" s="1"/>
  <c r="C51" i="11" s="1"/>
  <c r="C51" i="12" s="1"/>
  <c r="E52" i="1"/>
  <c r="E52" i="2" s="1"/>
  <c r="E52" i="3" s="1"/>
  <c r="E52" i="4" s="1"/>
  <c r="E52" i="5" s="1"/>
  <c r="E52" i="6" s="1"/>
  <c r="E52" i="7" s="1"/>
  <c r="E52" i="8" s="1"/>
  <c r="E51" i="9" s="1"/>
  <c r="E51" i="10" s="1"/>
  <c r="E51" i="11" s="1"/>
  <c r="E51" i="12" s="1"/>
  <c r="G52" i="1"/>
  <c r="G52" i="2" s="1"/>
  <c r="G52" i="3" s="1"/>
  <c r="G52" i="4" s="1"/>
  <c r="G52" i="5" s="1"/>
  <c r="G52" i="6" s="1"/>
  <c r="G52" i="7" s="1"/>
  <c r="G52" i="8" s="1"/>
  <c r="G51" i="9" s="1"/>
  <c r="G51" i="10" s="1"/>
  <c r="G51" i="11" s="1"/>
  <c r="G51" i="12" s="1"/>
  <c r="C53" i="1"/>
  <c r="C53" i="2" s="1"/>
  <c r="C53" i="3" s="1"/>
  <c r="C53" i="4" s="1"/>
  <c r="C53" i="5" s="1"/>
  <c r="C53" i="6" s="1"/>
  <c r="C53" i="7" s="1"/>
  <c r="C53" i="8" s="1"/>
  <c r="C52" i="9" s="1"/>
  <c r="C52" i="10" s="1"/>
  <c r="C52" i="11" s="1"/>
  <c r="C52" i="12" s="1"/>
  <c r="E53" i="1"/>
  <c r="E53" i="2" s="1"/>
  <c r="G53" i="1"/>
  <c r="G53" i="2" s="1"/>
  <c r="G53" i="3" s="1"/>
  <c r="G53" i="4" s="1"/>
  <c r="G53" i="5" s="1"/>
  <c r="G53" i="6" s="1"/>
  <c r="G53" i="7" s="1"/>
  <c r="G53" i="8" s="1"/>
  <c r="G52" i="9" s="1"/>
  <c r="G52" i="10" s="1"/>
  <c r="G52" i="11" s="1"/>
  <c r="G52" i="12" s="1"/>
  <c r="E54" i="1"/>
  <c r="G54" i="1"/>
  <c r="C11" i="1"/>
  <c r="C11" i="2" s="1"/>
  <c r="C11" i="3" s="1"/>
  <c r="C11" i="4" s="1"/>
  <c r="C11" i="5" s="1"/>
  <c r="C11" i="6" s="1"/>
  <c r="C11" i="7" s="1"/>
  <c r="C11" i="8" s="1"/>
  <c r="C54" i="9" s="1"/>
  <c r="C54" i="10" s="1"/>
  <c r="C54" i="11" s="1"/>
  <c r="C54" i="12" s="1"/>
  <c r="E11" i="1"/>
  <c r="C7" i="2"/>
  <c r="C7" i="3" s="1"/>
  <c r="C7" i="4" s="1"/>
  <c r="C7" i="5" s="1"/>
  <c r="C7" i="6" s="1"/>
  <c r="C7" i="7" s="1"/>
  <c r="C7" i="8" s="1"/>
  <c r="C7" i="9" s="1"/>
  <c r="C7" i="10" s="1"/>
  <c r="C7" i="11" s="1"/>
  <c r="C7" i="12" s="1"/>
  <c r="G7" i="2"/>
  <c r="G8" i="2"/>
  <c r="E9" i="2"/>
  <c r="E9" i="3" s="1"/>
  <c r="E9" i="4" s="1"/>
  <c r="E9" i="5" s="1"/>
  <c r="E9" i="6" s="1"/>
  <c r="E9" i="7" s="1"/>
  <c r="E9" i="8" s="1"/>
  <c r="E9" i="9" s="1"/>
  <c r="E9" i="10" s="1"/>
  <c r="E9" i="11" s="1"/>
  <c r="E9" i="12" s="1"/>
  <c r="C10" i="2"/>
  <c r="C10" i="3" s="1"/>
  <c r="C10" i="4" s="1"/>
  <c r="C10" i="5" s="1"/>
  <c r="C10" i="6" s="1"/>
  <c r="C10" i="7" s="1"/>
  <c r="C10" i="8" s="1"/>
  <c r="C10" i="9" s="1"/>
  <c r="C10" i="10" s="1"/>
  <c r="C10" i="11" s="1"/>
  <c r="C10" i="12" s="1"/>
  <c r="G10" i="2"/>
  <c r="G10" i="3" s="1"/>
  <c r="G10" i="4" s="1"/>
  <c r="G10" i="5" s="1"/>
  <c r="G10" i="6" s="1"/>
  <c r="G10" i="7" s="1"/>
  <c r="G10" i="8" s="1"/>
  <c r="G10" i="9" s="1"/>
  <c r="G10" i="10" s="1"/>
  <c r="G10" i="11" s="1"/>
  <c r="G10" i="12" s="1"/>
  <c r="E12" i="2"/>
  <c r="E12" i="3" s="1"/>
  <c r="E12" i="4" s="1"/>
  <c r="E12" i="5" s="1"/>
  <c r="E12" i="6" s="1"/>
  <c r="E12" i="7" s="1"/>
  <c r="E12" i="8" s="1"/>
  <c r="E11" i="9" s="1"/>
  <c r="E11" i="10" s="1"/>
  <c r="E11" i="11" s="1"/>
  <c r="E11" i="12" s="1"/>
  <c r="C13" i="2"/>
  <c r="C13" i="3" s="1"/>
  <c r="C13" i="4" s="1"/>
  <c r="C13" i="5" s="1"/>
  <c r="C13" i="6" s="1"/>
  <c r="C13" i="7" s="1"/>
  <c r="C13" i="8" s="1"/>
  <c r="C12" i="9" s="1"/>
  <c r="C12" i="10" s="1"/>
  <c r="C12" i="11" s="1"/>
  <c r="C12" i="12" s="1"/>
  <c r="G13" i="2"/>
  <c r="G13" i="3" s="1"/>
  <c r="G13" i="4" s="1"/>
  <c r="G13" i="5" s="1"/>
  <c r="G13" i="6" s="1"/>
  <c r="G13" i="7" s="1"/>
  <c r="G13" i="8" s="1"/>
  <c r="G12" i="9" s="1"/>
  <c r="G12" i="10" s="1"/>
  <c r="G12" i="11" s="1"/>
  <c r="G12" i="12" s="1"/>
  <c r="E14" i="2"/>
  <c r="C15" i="2"/>
  <c r="C15" i="3" s="1"/>
  <c r="C15" i="4" s="1"/>
  <c r="C15" i="5" s="1"/>
  <c r="C15" i="6" s="1"/>
  <c r="C15" i="7" s="1"/>
  <c r="C15" i="8" s="1"/>
  <c r="C14" i="9" s="1"/>
  <c r="C14" i="10" s="1"/>
  <c r="C14" i="11" s="1"/>
  <c r="C14" i="12" s="1"/>
  <c r="G15" i="2"/>
  <c r="G15" i="3" s="1"/>
  <c r="G15" i="4" s="1"/>
  <c r="G15" i="5" s="1"/>
  <c r="G15" i="6" s="1"/>
  <c r="G15" i="7" s="1"/>
  <c r="G15" i="8" s="1"/>
  <c r="G14" i="9" s="1"/>
  <c r="G14" i="10" s="1"/>
  <c r="G14" i="11" s="1"/>
  <c r="G14" i="12" s="1"/>
  <c r="G16" i="2"/>
  <c r="G16" i="3" s="1"/>
  <c r="G16" i="4" s="1"/>
  <c r="G16" i="5" s="1"/>
  <c r="G16" i="6" s="1"/>
  <c r="G16" i="7" s="1"/>
  <c r="G16" i="8" s="1"/>
  <c r="G15" i="9" s="1"/>
  <c r="G15" i="10" s="1"/>
  <c r="G15" i="11" s="1"/>
  <c r="G15" i="12" s="1"/>
  <c r="G17" i="2"/>
  <c r="G17" i="3" s="1"/>
  <c r="G17" i="4" s="1"/>
  <c r="G17" i="5" s="1"/>
  <c r="G17" i="6" s="1"/>
  <c r="G17" i="7" s="1"/>
  <c r="G17" i="8" s="1"/>
  <c r="G16" i="9" s="1"/>
  <c r="G16" i="10" s="1"/>
  <c r="G16" i="11" s="1"/>
  <c r="G16" i="12" s="1"/>
  <c r="G18" i="2"/>
  <c r="G19" i="2"/>
  <c r="G19" i="3" s="1"/>
  <c r="G19" i="4" s="1"/>
  <c r="G19" i="5" s="1"/>
  <c r="G19" i="6" s="1"/>
  <c r="G19" i="7" s="1"/>
  <c r="G19" i="8" s="1"/>
  <c r="G18" i="9" s="1"/>
  <c r="G18" i="10" s="1"/>
  <c r="G18" i="11" s="1"/>
  <c r="G18" i="12" s="1"/>
  <c r="E20" i="2"/>
  <c r="E20" i="3" s="1"/>
  <c r="E20" i="4" s="1"/>
  <c r="E20" i="5" s="1"/>
  <c r="E20" i="6" s="1"/>
  <c r="E20" i="7" s="1"/>
  <c r="E20" i="8" s="1"/>
  <c r="E19" i="9" s="1"/>
  <c r="E19" i="10" s="1"/>
  <c r="E19" i="11" s="1"/>
  <c r="E19" i="12" s="1"/>
  <c r="E21" i="2"/>
  <c r="E21" i="3" s="1"/>
  <c r="E21" i="4" s="1"/>
  <c r="E21" i="5" s="1"/>
  <c r="E21" i="6" s="1"/>
  <c r="E21" i="7" s="1"/>
  <c r="E21" i="8" s="1"/>
  <c r="E20" i="9" s="1"/>
  <c r="E20" i="10" s="1"/>
  <c r="E20" i="11" s="1"/>
  <c r="E20" i="12" s="1"/>
  <c r="C22" i="2"/>
  <c r="C22" i="3" s="1"/>
  <c r="C22" i="4" s="1"/>
  <c r="C22" i="5" s="1"/>
  <c r="C22" i="6" s="1"/>
  <c r="C22" i="7" s="1"/>
  <c r="C22" i="8" s="1"/>
  <c r="C21" i="9" s="1"/>
  <c r="C21" i="10" s="1"/>
  <c r="C21" i="11" s="1"/>
  <c r="C21" i="12" s="1"/>
  <c r="E23" i="2"/>
  <c r="E23" i="3" s="1"/>
  <c r="E23" i="4" s="1"/>
  <c r="E23" i="5" s="1"/>
  <c r="E23" i="6" s="1"/>
  <c r="E23" i="7" s="1"/>
  <c r="E23" i="8" s="1"/>
  <c r="E22" i="9" s="1"/>
  <c r="E22" i="10" s="1"/>
  <c r="E22" i="11" s="1"/>
  <c r="E22" i="12" s="1"/>
  <c r="G24" i="2"/>
  <c r="G24" i="3" s="1"/>
  <c r="G24" i="4" s="1"/>
  <c r="G24" i="5" s="1"/>
  <c r="G24" i="6" s="1"/>
  <c r="G24" i="7" s="1"/>
  <c r="G24" i="8" s="1"/>
  <c r="G23" i="9" s="1"/>
  <c r="G23" i="10" s="1"/>
  <c r="G23" i="11" s="1"/>
  <c r="G23" i="12" s="1"/>
  <c r="G27" i="2"/>
  <c r="G27" i="3" s="1"/>
  <c r="G27" i="4" s="1"/>
  <c r="G27" i="5" s="1"/>
  <c r="G27" i="6" s="1"/>
  <c r="G27" i="7" s="1"/>
  <c r="G27" i="8" s="1"/>
  <c r="G26" i="9" s="1"/>
  <c r="G26" i="10" s="1"/>
  <c r="G26" i="11" s="1"/>
  <c r="G26" i="12" s="1"/>
  <c r="E28" i="2"/>
  <c r="E29" i="2"/>
  <c r="E29" i="3" s="1"/>
  <c r="E29" i="4" s="1"/>
  <c r="E29" i="5" s="1"/>
  <c r="E29" i="6" s="1"/>
  <c r="E29" i="7" s="1"/>
  <c r="E29" i="8" s="1"/>
  <c r="E28" i="9" s="1"/>
  <c r="E28" i="10" s="1"/>
  <c r="E28" i="11" s="1"/>
  <c r="E28" i="12" s="1"/>
  <c r="G30" i="2"/>
  <c r="G30" i="3" s="1"/>
  <c r="G30" i="4" s="1"/>
  <c r="G30" i="5" s="1"/>
  <c r="G30" i="6" s="1"/>
  <c r="G30" i="7" s="1"/>
  <c r="G30" i="8" s="1"/>
  <c r="G29" i="9" s="1"/>
  <c r="G29" i="10" s="1"/>
  <c r="G29" i="11" s="1"/>
  <c r="G29" i="12" s="1"/>
  <c r="C32" i="2"/>
  <c r="C32" i="3" s="1"/>
  <c r="C32" i="4" s="1"/>
  <c r="C32" i="5" s="1"/>
  <c r="C32" i="6" s="1"/>
  <c r="C32" i="7" s="1"/>
  <c r="C32" i="8" s="1"/>
  <c r="C31" i="9" s="1"/>
  <c r="C31" i="10" s="1"/>
  <c r="C31" i="11" s="1"/>
  <c r="C31" i="12" s="1"/>
  <c r="E33" i="2"/>
  <c r="G34" i="2"/>
  <c r="G34" i="3" s="1"/>
  <c r="G34" i="4" s="1"/>
  <c r="G34" i="5" s="1"/>
  <c r="G34" i="6" s="1"/>
  <c r="G34" i="7" s="1"/>
  <c r="G34" i="8" s="1"/>
  <c r="G33" i="9" s="1"/>
  <c r="G33" i="10" s="1"/>
  <c r="G33" i="11" s="1"/>
  <c r="G33" i="12" s="1"/>
  <c r="C36" i="2"/>
  <c r="C38" i="2"/>
  <c r="C38" i="3" s="1"/>
  <c r="C38" i="4" s="1"/>
  <c r="C38" i="5" s="1"/>
  <c r="C38" i="6" s="1"/>
  <c r="C38" i="7" s="1"/>
  <c r="C38" i="8" s="1"/>
  <c r="C37" i="9" s="1"/>
  <c r="C37" i="10" s="1"/>
  <c r="C37" i="11" s="1"/>
  <c r="C37" i="12" s="1"/>
  <c r="G38" i="2"/>
  <c r="G38" i="3" s="1"/>
  <c r="G38" i="4" s="1"/>
  <c r="G38" i="5" s="1"/>
  <c r="G38" i="6" s="1"/>
  <c r="G38" i="7" s="1"/>
  <c r="G38" i="8" s="1"/>
  <c r="G37" i="9" s="1"/>
  <c r="G37" i="10" s="1"/>
  <c r="G37" i="11" s="1"/>
  <c r="G37" i="12" s="1"/>
  <c r="E39" i="2"/>
  <c r="E39" i="3" s="1"/>
  <c r="E39" i="4" s="1"/>
  <c r="E39" i="5" s="1"/>
  <c r="E39" i="6" s="1"/>
  <c r="E39" i="7" s="1"/>
  <c r="E39" i="8" s="1"/>
  <c r="E38" i="9" s="1"/>
  <c r="E38" i="10" s="1"/>
  <c r="E38" i="11" s="1"/>
  <c r="E38" i="12" s="1"/>
  <c r="G42" i="2"/>
  <c r="G42" i="3" s="1"/>
  <c r="G42" i="4" s="1"/>
  <c r="G42" i="5" s="1"/>
  <c r="G42" i="6" s="1"/>
  <c r="G42" i="7" s="1"/>
  <c r="G42" i="8" s="1"/>
  <c r="G41" i="9" s="1"/>
  <c r="G41" i="10" s="1"/>
  <c r="G41" i="11" s="1"/>
  <c r="G41" i="12" s="1"/>
  <c r="E45" i="2"/>
  <c r="E45" i="3" s="1"/>
  <c r="E45" i="4" s="1"/>
  <c r="E45" i="5" s="1"/>
  <c r="E45" i="6" s="1"/>
  <c r="E45" i="7" s="1"/>
  <c r="E45" i="8" s="1"/>
  <c r="E44" i="9" s="1"/>
  <c r="E44" i="10" s="1"/>
  <c r="E44" i="11" s="1"/>
  <c r="E44" i="12" s="1"/>
  <c r="G46" i="2"/>
  <c r="C48" i="2"/>
  <c r="C48" i="3" s="1"/>
  <c r="C48" i="4" s="1"/>
  <c r="C48" i="5" s="1"/>
  <c r="C48" i="6" s="1"/>
  <c r="C48" i="7" s="1"/>
  <c r="C48" i="8" s="1"/>
  <c r="C47" i="9" s="1"/>
  <c r="C47" i="10" s="1"/>
  <c r="C47" i="11" s="1"/>
  <c r="C47" i="12" s="1"/>
  <c r="C49" i="2"/>
  <c r="C49" i="3" s="1"/>
  <c r="C49" i="4" s="1"/>
  <c r="C49" i="5" s="1"/>
  <c r="C49" i="6" s="1"/>
  <c r="C49" i="7" s="1"/>
  <c r="C49" i="8" s="1"/>
  <c r="C48" i="9" s="1"/>
  <c r="C48" i="10" s="1"/>
  <c r="C48" i="11" s="1"/>
  <c r="C48" i="12" s="1"/>
  <c r="G51" i="2"/>
  <c r="G51" i="3" s="1"/>
  <c r="G51" i="4" s="1"/>
  <c r="G51" i="5" s="1"/>
  <c r="G51" i="6" s="1"/>
  <c r="G51" i="7" s="1"/>
  <c r="G51" i="8" s="1"/>
  <c r="G50" i="9" s="1"/>
  <c r="G50" i="10" s="1"/>
  <c r="G50" i="11" s="1"/>
  <c r="G50" i="12" s="1"/>
  <c r="C54" i="2"/>
  <c r="C54" i="3" s="1"/>
  <c r="C54" i="4" s="1"/>
  <c r="C54" i="5" s="1"/>
  <c r="C54" i="6" s="1"/>
  <c r="C54" i="7" s="1"/>
  <c r="C54" i="8" s="1"/>
  <c r="C53" i="9" s="1"/>
  <c r="C53" i="10" s="1"/>
  <c r="C53" i="11" s="1"/>
  <c r="C53" i="12" s="1"/>
  <c r="E54" i="2"/>
  <c r="E54" i="3" s="1"/>
  <c r="E54" i="4" s="1"/>
  <c r="E54" i="5" s="1"/>
  <c r="E54" i="6" s="1"/>
  <c r="E54" i="7" s="1"/>
  <c r="E54" i="8" s="1"/>
  <c r="E53" i="9" s="1"/>
  <c r="E53" i="10" s="1"/>
  <c r="E53" i="11" s="1"/>
  <c r="E53" i="12" s="1"/>
  <c r="G54" i="2"/>
  <c r="G54" i="3" s="1"/>
  <c r="G54" i="4" s="1"/>
  <c r="G54" i="5" s="1"/>
  <c r="G54" i="6" s="1"/>
  <c r="G54" i="7" s="1"/>
  <c r="G54" i="8" s="1"/>
  <c r="G53" i="9" s="1"/>
  <c r="G53" i="10" s="1"/>
  <c r="G53" i="11" s="1"/>
  <c r="G53" i="12" s="1"/>
  <c r="E11" i="2"/>
  <c r="E11" i="3" s="1"/>
  <c r="E11" i="4" s="1"/>
  <c r="E11" i="5" s="1"/>
  <c r="E11" i="6" s="1"/>
  <c r="E11" i="7" s="1"/>
  <c r="E11" i="8" s="1"/>
  <c r="E54" i="9" s="1"/>
  <c r="E54" i="10" s="1"/>
  <c r="E54" i="11" s="1"/>
  <c r="E54" i="12" s="1"/>
  <c r="E13" i="3"/>
  <c r="E13" i="4" s="1"/>
  <c r="E13" i="5" s="1"/>
  <c r="E13" i="6" s="1"/>
  <c r="E13" i="7" s="1"/>
  <c r="E13" i="8" s="1"/>
  <c r="E12" i="9" s="1"/>
  <c r="E12" i="10" s="1"/>
  <c r="E14" i="3"/>
  <c r="E14" i="4" s="1"/>
  <c r="E14" i="5" s="1"/>
  <c r="E14" i="6" s="1"/>
  <c r="E14" i="7" s="1"/>
  <c r="E14" i="8" s="1"/>
  <c r="E13" i="9" s="1"/>
  <c r="E13" i="10" s="1"/>
  <c r="E13" i="11" s="1"/>
  <c r="E13" i="12" s="1"/>
  <c r="E16" i="3"/>
  <c r="E16" i="4" s="1"/>
  <c r="E16" i="5" s="1"/>
  <c r="E16" i="6" s="1"/>
  <c r="E16" i="7" s="1"/>
  <c r="E16" i="8" s="1"/>
  <c r="E15" i="9" s="1"/>
  <c r="E15" i="10" s="1"/>
  <c r="E15" i="11" s="1"/>
  <c r="E15" i="12" s="1"/>
  <c r="E22" i="3"/>
  <c r="E22" i="4" s="1"/>
  <c r="E22" i="5" s="1"/>
  <c r="E22" i="6" s="1"/>
  <c r="E22" i="7" s="1"/>
  <c r="E22" i="8" s="1"/>
  <c r="E21" i="9" s="1"/>
  <c r="E21" i="10" s="1"/>
  <c r="E21" i="11" s="1"/>
  <c r="E21" i="12" s="1"/>
  <c r="B55" i="4"/>
  <c r="D55" i="4"/>
  <c r="F55" i="4"/>
  <c r="G8" i="3"/>
  <c r="G8" i="4" s="1"/>
  <c r="G8" i="5" s="1"/>
  <c r="G8" i="6" s="1"/>
  <c r="G8" i="7" s="1"/>
  <c r="G8" i="8" s="1"/>
  <c r="G8" i="9" s="1"/>
  <c r="G8" i="10" s="1"/>
  <c r="G8" i="11" s="1"/>
  <c r="G8" i="12" s="1"/>
  <c r="D58" i="1"/>
  <c r="D58" i="2" s="1"/>
  <c r="D58" i="3" s="1"/>
  <c r="D58" i="4" s="1"/>
  <c r="D59" i="1"/>
  <c r="D59" i="2" s="1"/>
  <c r="D59" i="3" s="1"/>
  <c r="D59" i="4" s="1"/>
  <c r="D59" i="5" s="1"/>
  <c r="D59" i="6" s="1"/>
  <c r="D59" i="7" s="1"/>
  <c r="D59" i="8" s="1"/>
  <c r="D59" i="9" s="1"/>
  <c r="D59" i="10" s="1"/>
  <c r="D59" i="11" s="1"/>
  <c r="D59" i="12" s="1"/>
  <c r="D60" i="1"/>
  <c r="D60" i="2" s="1"/>
  <c r="D60" i="3" s="1"/>
  <c r="D60" i="4" s="1"/>
  <c r="D60" i="5" s="1"/>
  <c r="D60" i="6" s="1"/>
  <c r="D60" i="7" s="1"/>
  <c r="D60" i="8" s="1"/>
  <c r="D60" i="9" s="1"/>
  <c r="D60" i="10" s="1"/>
  <c r="D60" i="11" s="1"/>
  <c r="D60" i="12" s="1"/>
  <c r="D61" i="1"/>
  <c r="D61" i="2" s="1"/>
  <c r="D61" i="3" s="1"/>
  <c r="D61" i="4" s="1"/>
  <c r="D61" i="5" s="1"/>
  <c r="D61" i="6" s="1"/>
  <c r="D61" i="7" s="1"/>
  <c r="D61" i="8" s="1"/>
  <c r="D61" i="9" s="1"/>
  <c r="D61" i="10" s="1"/>
  <c r="D61" i="11" s="1"/>
  <c r="D61" i="12" s="1"/>
  <c r="D65" i="1"/>
  <c r="D65" i="2" s="1"/>
  <c r="D65" i="3" s="1"/>
  <c r="D65" i="4" s="1"/>
  <c r="D66" i="1"/>
  <c r="D66" i="2" s="1"/>
  <c r="D66" i="3" s="1"/>
  <c r="D66" i="4" s="1"/>
  <c r="D66" i="5" s="1"/>
  <c r="D66" i="6" s="1"/>
  <c r="D66" i="7" s="1"/>
  <c r="D66" i="8" s="1"/>
  <c r="D66" i="9" s="1"/>
  <c r="D66" i="10" s="1"/>
  <c r="D66" i="11" s="1"/>
  <c r="D66" i="12" s="1"/>
  <c r="D67" i="1"/>
  <c r="D67" i="2" s="1"/>
  <c r="D67" i="3" s="1"/>
  <c r="D67" i="4" s="1"/>
  <c r="D67" i="5" s="1"/>
  <c r="D67" i="6" s="1"/>
  <c r="D67" i="7" s="1"/>
  <c r="D67" i="8" s="1"/>
  <c r="D67" i="9" s="1"/>
  <c r="D67" i="10" s="1"/>
  <c r="D67" i="11" s="1"/>
  <c r="D67" i="12" s="1"/>
  <c r="B55" i="2"/>
  <c r="B55" i="3"/>
  <c r="G7" i="3"/>
  <c r="G7" i="4" s="1"/>
  <c r="G7" i="5" s="1"/>
  <c r="G7" i="6" s="1"/>
  <c r="G7" i="7" s="1"/>
  <c r="G7" i="8" s="1"/>
  <c r="G7" i="9" s="1"/>
  <c r="G7" i="10" s="1"/>
  <c r="G7" i="11" s="1"/>
  <c r="G7" i="12" s="1"/>
  <c r="G18" i="3"/>
  <c r="G18" i="4" s="1"/>
  <c r="G18" i="5" s="1"/>
  <c r="G18" i="6" s="1"/>
  <c r="G18" i="7" s="1"/>
  <c r="G18" i="8" s="1"/>
  <c r="G17" i="9" s="1"/>
  <c r="G17" i="10" s="1"/>
  <c r="G17" i="11" s="1"/>
  <c r="G17" i="12" s="1"/>
  <c r="G23" i="3"/>
  <c r="G23" i="4" s="1"/>
  <c r="G23" i="5" s="1"/>
  <c r="G23" i="6" s="1"/>
  <c r="G23" i="7" s="1"/>
  <c r="G23" i="8" s="1"/>
  <c r="G22" i="9" s="1"/>
  <c r="G22" i="10" s="1"/>
  <c r="G22" i="11" s="1"/>
  <c r="G22" i="12" s="1"/>
  <c r="C25" i="3"/>
  <c r="C25" i="4" s="1"/>
  <c r="C25" i="5" s="1"/>
  <c r="C25" i="6" s="1"/>
  <c r="C25" i="7" s="1"/>
  <c r="C25" i="8" s="1"/>
  <c r="C24" i="9" s="1"/>
  <c r="C24" i="10" s="1"/>
  <c r="C24" i="11" s="1"/>
  <c r="C24" i="12" s="1"/>
  <c r="E25" i="3"/>
  <c r="E25" i="4" s="1"/>
  <c r="E25" i="5" s="1"/>
  <c r="E25" i="6" s="1"/>
  <c r="E25" i="7" s="1"/>
  <c r="E25" i="8" s="1"/>
  <c r="E24" i="9" s="1"/>
  <c r="E24" i="10" s="1"/>
  <c r="E24" i="11" s="1"/>
  <c r="E24" i="12" s="1"/>
  <c r="G26" i="3"/>
  <c r="G26" i="4" s="1"/>
  <c r="G26" i="5" s="1"/>
  <c r="G26" i="6" s="1"/>
  <c r="G26" i="7" s="1"/>
  <c r="G26" i="8" s="1"/>
  <c r="G25" i="9" s="1"/>
  <c r="G25" i="10" s="1"/>
  <c r="G25" i="11" s="1"/>
  <c r="G25" i="12" s="1"/>
  <c r="C27" i="3"/>
  <c r="C27" i="4" s="1"/>
  <c r="C27" i="5" s="1"/>
  <c r="C27" i="6" s="1"/>
  <c r="C27" i="7" s="1"/>
  <c r="C27" i="8" s="1"/>
  <c r="C26" i="9" s="1"/>
  <c r="C26" i="10" s="1"/>
  <c r="C26" i="11" s="1"/>
  <c r="C26" i="12" s="1"/>
  <c r="C28" i="3"/>
  <c r="C28" i="4" s="1"/>
  <c r="C28" i="5" s="1"/>
  <c r="C28" i="6" s="1"/>
  <c r="C28" i="7" s="1"/>
  <c r="C28" i="8" s="1"/>
  <c r="C27" i="9" s="1"/>
  <c r="C27" i="10" s="1"/>
  <c r="C27" i="11" s="1"/>
  <c r="C27" i="12" s="1"/>
  <c r="E28" i="3"/>
  <c r="E28" i="4" s="1"/>
  <c r="G28" i="3"/>
  <c r="G28" i="4" s="1"/>
  <c r="G28" i="5" s="1"/>
  <c r="G28" i="6" s="1"/>
  <c r="G28" i="7" s="1"/>
  <c r="G28" i="8" s="1"/>
  <c r="G27" i="9" s="1"/>
  <c r="G27" i="10" s="1"/>
  <c r="G27" i="11" s="1"/>
  <c r="G27" i="12" s="1"/>
  <c r="E31" i="3"/>
  <c r="E31" i="4" s="1"/>
  <c r="E31" i="5" s="1"/>
  <c r="E31" i="6" s="1"/>
  <c r="E31" i="7" s="1"/>
  <c r="E31" i="8" s="1"/>
  <c r="E30" i="9" s="1"/>
  <c r="E30" i="10" s="1"/>
  <c r="E30" i="11" s="1"/>
  <c r="E30" i="12" s="1"/>
  <c r="E32" i="3"/>
  <c r="E32" i="4" s="1"/>
  <c r="E32" i="5" s="1"/>
  <c r="E32" i="6" s="1"/>
  <c r="E32" i="7" s="1"/>
  <c r="E32" i="8" s="1"/>
  <c r="E31" i="9" s="1"/>
  <c r="E31" i="10" s="1"/>
  <c r="E31" i="11" s="1"/>
  <c r="E31" i="12" s="1"/>
  <c r="G32" i="3"/>
  <c r="G32" i="4" s="1"/>
  <c r="G32" i="5" s="1"/>
  <c r="G32" i="6" s="1"/>
  <c r="G32" i="7" s="1"/>
  <c r="G32" i="8" s="1"/>
  <c r="G31" i="9" s="1"/>
  <c r="G31" i="10" s="1"/>
  <c r="G31" i="11" s="1"/>
  <c r="G31" i="12" s="1"/>
  <c r="E33" i="3"/>
  <c r="E33" i="4" s="1"/>
  <c r="E33" i="5" s="1"/>
  <c r="E33" i="6" s="1"/>
  <c r="E33" i="7" s="1"/>
  <c r="E33" i="8" s="1"/>
  <c r="E32" i="9" s="1"/>
  <c r="E32" i="10" s="1"/>
  <c r="E32" i="11" s="1"/>
  <c r="E32" i="12" s="1"/>
  <c r="C34" i="3"/>
  <c r="C34" i="4" s="1"/>
  <c r="C34" i="5" s="1"/>
  <c r="C34" i="6" s="1"/>
  <c r="C34" i="7" s="1"/>
  <c r="C34" i="8" s="1"/>
  <c r="C33" i="9" s="1"/>
  <c r="C33" i="10" s="1"/>
  <c r="C33" i="11" s="1"/>
  <c r="C33" i="12" s="1"/>
  <c r="E35" i="3"/>
  <c r="E35" i="4" s="1"/>
  <c r="C36" i="3"/>
  <c r="C36" i="4" s="1"/>
  <c r="C36" i="5" s="1"/>
  <c r="C36" i="6" s="1"/>
  <c r="C36" i="7" s="1"/>
  <c r="C36" i="8" s="1"/>
  <c r="C35" i="9" s="1"/>
  <c r="C35" i="10" s="1"/>
  <c r="C35" i="11" s="1"/>
  <c r="C35" i="12" s="1"/>
  <c r="G36" i="3"/>
  <c r="G36" i="4" s="1"/>
  <c r="G36" i="5" s="1"/>
  <c r="G36" i="6" s="1"/>
  <c r="G36" i="7" s="1"/>
  <c r="G36" i="8" s="1"/>
  <c r="G35" i="9" s="1"/>
  <c r="G35" i="10" s="1"/>
  <c r="G35" i="11" s="1"/>
  <c r="G35" i="12" s="1"/>
  <c r="E38" i="3"/>
  <c r="E38" i="4" s="1"/>
  <c r="E38" i="5" s="1"/>
  <c r="E38" i="6" s="1"/>
  <c r="E38" i="7" s="1"/>
  <c r="E38" i="8" s="1"/>
  <c r="E37" i="9" s="1"/>
  <c r="E37" i="10" s="1"/>
  <c r="E37" i="11" s="1"/>
  <c r="E37" i="12" s="1"/>
  <c r="E40" i="3"/>
  <c r="E40" i="4" s="1"/>
  <c r="E40" i="5" s="1"/>
  <c r="E40" i="6" s="1"/>
  <c r="E40" i="7" s="1"/>
  <c r="E40" i="8" s="1"/>
  <c r="E39" i="9" s="1"/>
  <c r="E39" i="10" s="1"/>
  <c r="E39" i="11" s="1"/>
  <c r="E39" i="12" s="1"/>
  <c r="G40" i="3"/>
  <c r="G40" i="4" s="1"/>
  <c r="G40" i="5" s="1"/>
  <c r="G40" i="6" s="1"/>
  <c r="G40" i="7" s="1"/>
  <c r="G40" i="8" s="1"/>
  <c r="G39" i="9" s="1"/>
  <c r="G39" i="10" s="1"/>
  <c r="G39" i="11" s="1"/>
  <c r="G39" i="12" s="1"/>
  <c r="C41" i="3"/>
  <c r="C41" i="4" s="1"/>
  <c r="E41" i="3"/>
  <c r="E41" i="4" s="1"/>
  <c r="E41" i="5" s="1"/>
  <c r="E41" i="6" s="1"/>
  <c r="E41" i="7" s="1"/>
  <c r="E41" i="8" s="1"/>
  <c r="E40" i="9" s="1"/>
  <c r="E40" i="10" s="1"/>
  <c r="E40" i="11" s="1"/>
  <c r="E40" i="12" s="1"/>
  <c r="C42" i="3"/>
  <c r="C42" i="4" s="1"/>
  <c r="C42" i="5" s="1"/>
  <c r="C42" i="6" s="1"/>
  <c r="C42" i="7" s="1"/>
  <c r="C42" i="8" s="1"/>
  <c r="C41" i="9" s="1"/>
  <c r="C41" i="10" s="1"/>
  <c r="C41" i="11" s="1"/>
  <c r="C41" i="12" s="1"/>
  <c r="E43" i="3"/>
  <c r="E43" i="4" s="1"/>
  <c r="E43" i="5" s="1"/>
  <c r="E43" i="6" s="1"/>
  <c r="E43" i="7" s="1"/>
  <c r="E43" i="8" s="1"/>
  <c r="E42" i="9" s="1"/>
  <c r="E42" i="10" s="1"/>
  <c r="E42" i="11" s="1"/>
  <c r="E42" i="12" s="1"/>
  <c r="G44" i="3"/>
  <c r="G44" i="4" s="1"/>
  <c r="G44" i="5" s="1"/>
  <c r="G44" i="6" s="1"/>
  <c r="G44" i="7" s="1"/>
  <c r="G44" i="8" s="1"/>
  <c r="G43" i="9" s="1"/>
  <c r="G43" i="10" s="1"/>
  <c r="G43" i="11" s="1"/>
  <c r="G43" i="12" s="1"/>
  <c r="G46" i="3"/>
  <c r="G46" i="4" s="1"/>
  <c r="G46" i="5" s="1"/>
  <c r="G46" i="6" s="1"/>
  <c r="G46" i="7" s="1"/>
  <c r="G46" i="8" s="1"/>
  <c r="G45" i="9" s="1"/>
  <c r="G45" i="10" s="1"/>
  <c r="G45" i="11" s="1"/>
  <c r="G45" i="12" s="1"/>
  <c r="E49" i="3"/>
  <c r="E49" i="4" s="1"/>
  <c r="E49" i="5" s="1"/>
  <c r="E49" i="6" s="1"/>
  <c r="E49" i="7" s="1"/>
  <c r="E49" i="8" s="1"/>
  <c r="E48" i="9" s="1"/>
  <c r="E48" i="10" s="1"/>
  <c r="E48" i="11" s="1"/>
  <c r="E48" i="12" s="1"/>
  <c r="G50" i="3"/>
  <c r="G50" i="4" s="1"/>
  <c r="E53" i="3"/>
  <c r="E53" i="4" s="1"/>
  <c r="E53" i="5" s="1"/>
  <c r="E53" i="6" s="1"/>
  <c r="E53" i="7" s="1"/>
  <c r="E53" i="8" s="1"/>
  <c r="E52" i="9" s="1"/>
  <c r="E52" i="10" s="1"/>
  <c r="E52" i="11" s="1"/>
  <c r="E52" i="12" s="1"/>
  <c r="D55" i="1"/>
  <c r="E55" i="1" s="1"/>
  <c r="D55" i="2"/>
  <c r="D55" i="3"/>
  <c r="F55" i="1"/>
  <c r="G55" i="1" s="1"/>
  <c r="F55" i="3"/>
  <c r="F55" i="5"/>
  <c r="F55" i="6"/>
  <c r="F55" i="7"/>
  <c r="B55" i="8"/>
  <c r="D55" i="8"/>
  <c r="F55" i="8"/>
  <c r="B55" i="5"/>
  <c r="B55" i="6"/>
  <c r="D55" i="5"/>
  <c r="D55" i="6"/>
  <c r="D55" i="7"/>
  <c r="G50" i="5"/>
  <c r="G50" i="6" s="1"/>
  <c r="G50" i="7" s="1"/>
  <c r="G50" i="8" s="1"/>
  <c r="G49" i="9" s="1"/>
  <c r="G49" i="10" s="1"/>
  <c r="G49" i="11" s="1"/>
  <c r="G49" i="12" s="1"/>
  <c r="E44" i="5"/>
  <c r="E44" i="6" s="1"/>
  <c r="E44" i="7" s="1"/>
  <c r="E44" i="8" s="1"/>
  <c r="E43" i="9" s="1"/>
  <c r="E43" i="10" s="1"/>
  <c r="E43" i="11" s="1"/>
  <c r="E43" i="12" s="1"/>
  <c r="C43" i="5"/>
  <c r="C43" i="6" s="1"/>
  <c r="C43" i="7" s="1"/>
  <c r="C43" i="8" s="1"/>
  <c r="C42" i="9" s="1"/>
  <c r="C42" i="10" s="1"/>
  <c r="C42" i="11" s="1"/>
  <c r="C42" i="12" s="1"/>
  <c r="G41" i="5"/>
  <c r="G41" i="6" s="1"/>
  <c r="G41" i="7" s="1"/>
  <c r="G41" i="8" s="1"/>
  <c r="G40" i="9" s="1"/>
  <c r="G40" i="10" s="1"/>
  <c r="G40" i="11" s="1"/>
  <c r="G40" i="12" s="1"/>
  <c r="C41" i="5"/>
  <c r="C41" i="6" s="1"/>
  <c r="C41" i="7" s="1"/>
  <c r="C41" i="8" s="1"/>
  <c r="C40" i="9" s="1"/>
  <c r="C40" i="10" s="1"/>
  <c r="C40" i="11" s="1"/>
  <c r="C40" i="12" s="1"/>
  <c r="G35" i="5"/>
  <c r="G35" i="6" s="1"/>
  <c r="G35" i="7" s="1"/>
  <c r="G35" i="8" s="1"/>
  <c r="G34" i="9" s="1"/>
  <c r="G34" i="10" s="1"/>
  <c r="G34" i="11" s="1"/>
  <c r="G34" i="12" s="1"/>
  <c r="E35" i="5"/>
  <c r="E35" i="6" s="1"/>
  <c r="E35" i="7" s="1"/>
  <c r="E35" i="8" s="1"/>
  <c r="E34" i="9" s="1"/>
  <c r="E34" i="10" s="1"/>
  <c r="E34" i="11" s="1"/>
  <c r="E34" i="12" s="1"/>
  <c r="C33" i="5"/>
  <c r="C33" i="6" s="1"/>
  <c r="C33" i="7" s="1"/>
  <c r="C33" i="8" s="1"/>
  <c r="C32" i="9" s="1"/>
  <c r="C32" i="10" s="1"/>
  <c r="C32" i="11" s="1"/>
  <c r="C32" i="12" s="1"/>
  <c r="E30" i="5"/>
  <c r="E30" i="6" s="1"/>
  <c r="E30" i="7" s="1"/>
  <c r="E30" i="8" s="1"/>
  <c r="E29" i="9" s="1"/>
  <c r="E29" i="10" s="1"/>
  <c r="E29" i="11" s="1"/>
  <c r="E29" i="12" s="1"/>
  <c r="E28" i="5"/>
  <c r="E28" i="6" s="1"/>
  <c r="E28" i="7" s="1"/>
  <c r="E28" i="8" s="1"/>
  <c r="E27" i="9" s="1"/>
  <c r="E27" i="10" s="1"/>
  <c r="E27" i="11" s="1"/>
  <c r="E27" i="12" s="1"/>
  <c r="G25" i="5"/>
  <c r="G25" i="6" s="1"/>
  <c r="G25" i="7" s="1"/>
  <c r="G25" i="8" s="1"/>
  <c r="G24" i="9" s="1"/>
  <c r="G24" i="10" s="1"/>
  <c r="G24" i="11" s="1"/>
  <c r="G24" i="12" s="1"/>
  <c r="C23" i="5"/>
  <c r="C23" i="6" s="1"/>
  <c r="C23" i="7" s="1"/>
  <c r="C23" i="8" s="1"/>
  <c r="C22" i="9" s="1"/>
  <c r="C22" i="10" s="1"/>
  <c r="C22" i="11" s="1"/>
  <c r="C22" i="12" s="1"/>
  <c r="C14" i="5"/>
  <c r="C14" i="6" s="1"/>
  <c r="C14" i="7" s="1"/>
  <c r="C14" i="8" s="1"/>
  <c r="C13" i="9" s="1"/>
  <c r="C13" i="10" s="1"/>
  <c r="C13" i="11" s="1"/>
  <c r="C13" i="12" s="1"/>
  <c r="D65" i="5"/>
  <c r="D65" i="6" s="1"/>
  <c r="D65" i="7" s="1"/>
  <c r="D65" i="8" s="1"/>
  <c r="D65" i="9" s="1"/>
  <c r="D65" i="10" s="1"/>
  <c r="D65" i="11" s="1"/>
  <c r="D65" i="12" s="1"/>
  <c r="D58" i="5"/>
  <c r="D58" i="6" s="1"/>
  <c r="D58" i="7" s="1"/>
  <c r="D58" i="8" s="1"/>
  <c r="D58" i="9" s="1"/>
  <c r="D58" i="10" s="1"/>
  <c r="D58" i="11" s="1"/>
  <c r="D58" i="12" s="1"/>
  <c r="B55" i="12"/>
  <c r="D55" i="12"/>
  <c r="F55" i="12"/>
  <c r="B55" i="9"/>
  <c r="B55" i="10"/>
  <c r="B55" i="11"/>
  <c r="E12" i="11"/>
  <c r="E12" i="12" s="1"/>
  <c r="C16" i="10"/>
  <c r="C16" i="11" s="1"/>
  <c r="C16" i="12" s="1"/>
  <c r="E16" i="11"/>
  <c r="E16" i="12" s="1"/>
  <c r="D55" i="9"/>
  <c r="D55" i="11"/>
  <c r="F55" i="9"/>
  <c r="F55" i="10"/>
  <c r="B55" i="1"/>
  <c r="B55" i="7"/>
  <c r="D55" i="10"/>
  <c r="C31" i="5" l="1"/>
  <c r="C31" i="6" s="1"/>
  <c r="C31" i="7" s="1"/>
  <c r="C31" i="8" s="1"/>
  <c r="C30" i="9" s="1"/>
  <c r="C30" i="10" s="1"/>
  <c r="C30" i="11" s="1"/>
  <c r="C30" i="12" s="1"/>
  <c r="C55" i="1"/>
  <c r="C55" i="2" s="1"/>
  <c r="C55" i="3" s="1"/>
  <c r="C55" i="4" s="1"/>
  <c r="C55" i="5" s="1"/>
  <c r="C55" i="6" s="1"/>
  <c r="C55" i="7" s="1"/>
  <c r="C55" i="8" s="1"/>
  <c r="C55" i="9" s="1"/>
  <c r="C55" i="10" s="1"/>
  <c r="C55" i="11" s="1"/>
  <c r="C55" i="12" s="1"/>
  <c r="C19" i="6"/>
  <c r="C19" i="7" s="1"/>
  <c r="C19" i="8" s="1"/>
  <c r="C18" i="9" s="1"/>
  <c r="C18" i="10" s="1"/>
  <c r="C18" i="11" s="1"/>
  <c r="C18" i="12" s="1"/>
  <c r="G55" i="2"/>
  <c r="G55" i="3" s="1"/>
  <c r="G55" i="4" s="1"/>
  <c r="G55" i="5" s="1"/>
  <c r="G55" i="6" s="1"/>
  <c r="G55" i="7" s="1"/>
  <c r="G55" i="8" s="1"/>
  <c r="G55" i="9" s="1"/>
  <c r="G55" i="10" s="1"/>
  <c r="G55" i="11" s="1"/>
  <c r="G55" i="12" s="1"/>
  <c r="E55" i="2"/>
  <c r="E55" i="3" s="1"/>
  <c r="E55" i="4" s="1"/>
  <c r="E55" i="5" s="1"/>
  <c r="E55" i="6" s="1"/>
  <c r="E55" i="7" s="1"/>
  <c r="E55" i="8" s="1"/>
  <c r="E55" i="9" s="1"/>
  <c r="E55" i="10" s="1"/>
  <c r="E55" i="11" s="1"/>
  <c r="E55" i="12" s="1"/>
</calcChain>
</file>

<file path=xl/comments1.xml><?xml version="1.0" encoding="utf-8"?>
<comments xmlns="http://schemas.openxmlformats.org/spreadsheetml/2006/main">
  <authors>
    <author>Pauline Hartman</author>
  </authors>
  <commentList>
    <comment ref="F11" authorId="0">
      <text>
        <r>
          <rPr>
            <b/>
            <sz val="8"/>
            <color indexed="81"/>
            <rFont val="Tahoma"/>
            <family val="2"/>
          </rPr>
          <t>Pauline Hartman: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<sst xmlns="http://schemas.openxmlformats.org/spreadsheetml/2006/main" count="900" uniqueCount="81">
  <si>
    <t xml:space="preserve">      FEEDER PIGS</t>
  </si>
  <si>
    <t xml:space="preserve">   BREEDING SWINE</t>
  </si>
  <si>
    <t xml:space="preserve">   SLAUGHTER SWINE</t>
  </si>
  <si>
    <t>STATE OF ORIGIN</t>
  </si>
  <si>
    <t>MONTH</t>
  </si>
  <si>
    <t>YTD</t>
  </si>
  <si>
    <t>ALABAMA</t>
  </si>
  <si>
    <t>ARKANSAS</t>
  </si>
  <si>
    <t>CALIFORNIA</t>
  </si>
  <si>
    <t>COLORADO</t>
  </si>
  <si>
    <t>CONNECTICUT</t>
  </si>
  <si>
    <t>DELAWARE</t>
  </si>
  <si>
    <t>FLORIDA</t>
  </si>
  <si>
    <t>GEORGIA</t>
  </si>
  <si>
    <t>IDAHO</t>
  </si>
  <si>
    <t>ILLINOIS</t>
  </si>
  <si>
    <t>INDIANA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</si>
  <si>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</si>
  <si>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</si>
  <si>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</si>
  <si>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</si>
  <si>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</si>
  <si>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</si>
  <si>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</si>
  <si>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</si>
  <si>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</si>
  <si>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</si>
  <si>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</si>
  <si>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</si>
  <si>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</si>
  <si>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</si>
  <si>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</si>
  <si>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</si>
  <si>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</si>
  <si>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</si>
  <si>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</si>
  <si>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</si>
  <si>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</si>
  <si>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</si>
  <si>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</si>
  <si>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</si>
  <si>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</si>
  <si>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</si>
  <si>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</si>
  <si>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</si>
  <si>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</si>
  <si>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</si>
  <si>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</si>
  <si>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</si>
  <si>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</si>
  <si>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</si>
  <si>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</si>
  <si>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CANADA</t>
  </si>
  <si>
    <t>TOTALS:</t>
  </si>
  <si>
    <t>UNITS:</t>
  </si>
  <si>
    <t>Canada</t>
  </si>
  <si>
    <t>Illinois</t>
  </si>
  <si>
    <t>Indiana</t>
  </si>
  <si>
    <t>Kentucky</t>
  </si>
  <si>
    <t>Minnesota</t>
  </si>
  <si>
    <t>Oklahoma</t>
  </si>
  <si>
    <t>South Dakota</t>
  </si>
  <si>
    <t>Wisconsin</t>
  </si>
  <si>
    <t>Nebraska</t>
  </si>
  <si>
    <t>ARIZONA</t>
  </si>
  <si>
    <t>Missouri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</si>
  <si>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</si>
  <si>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</si>
  <si>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</si>
  <si>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</si>
  <si>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</si>
  <si>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</si>
  <si>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</si>
  <si>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</si>
  <si>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</si>
  <si>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November</t>
  </si>
  <si>
    <t>December</t>
  </si>
  <si>
    <t>KARLA CRAWFORD AND LISA POTTER</t>
  </si>
  <si>
    <t>August</t>
  </si>
  <si>
    <t>Karla Crawford and Lisa Potter</t>
  </si>
  <si>
    <t xml:space="preserve">                      2012 Imported Swine Count: IOWA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</si>
</sst>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28" x14ac:knownFonts="1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8"/>
      <name val="Monotype Corsiva"/>
      <family val="4"/>
    </font>
    <font>
      <sz val="12"/>
      <color indexed="8"/>
      <name val="Arial"/>
      <family val="2"/>
    </font>
    <font>
      <sz val="12"/>
      <color indexed="21"/>
      <name val="Arial"/>
      <family val="2"/>
    </font>
    <font>
      <b/>
      <sz val="12"/>
      <color indexed="21"/>
      <name val="Arial"/>
      <family val="2"/>
    </font>
    <font>
      <b/>
      <sz val="13"/>
      <name val="Arial"/>
      <family val="2"/>
    </font>
    <font>
      <b/>
      <sz val="12"/>
      <color indexed="4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"/>
      <family val="2"/>
    </font>
    <font>
      <u/>
      <sz val="14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b/>
      <u/>
      <sz val="18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0" fillId="0" borderId="2" xfId="0" applyBorder="1"/>
    <xf numFmtId="0" fontId="5" fillId="0" borderId="3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5" xfId="0" applyBorder="1" applyAlignment="1">
      <alignment horizontal="left"/>
    </xf>
    <xf numFmtId="37" fontId="0" fillId="0" borderId="5" xfId="0" applyNumberFormat="1" applyBorder="1" applyAlignment="1" applyProtection="1">
      <alignment horizontal="center"/>
    </xf>
    <xf numFmtId="0" fontId="0" fillId="0" borderId="6" xfId="0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37" fontId="5" fillId="0" borderId="7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37" fontId="0" fillId="0" borderId="0" xfId="0" applyNumberFormat="1" applyProtection="1"/>
    <xf numFmtId="0" fontId="7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37" fontId="2" fillId="0" borderId="8" xfId="0" applyNumberFormat="1" applyFont="1" applyBorder="1" applyAlignment="1" applyProtection="1">
      <alignment horizontal="center" vertical="center"/>
    </xf>
    <xf numFmtId="37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37" fontId="0" fillId="0" borderId="0" xfId="0" applyNumberFormat="1" applyAlignment="1" applyProtection="1">
      <alignment horizontal="center" vertical="center"/>
    </xf>
    <xf numFmtId="37" fontId="9" fillId="0" borderId="5" xfId="0" applyNumberFormat="1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37" fontId="10" fillId="0" borderId="5" xfId="0" applyNumberFormat="1" applyFont="1" applyBorder="1" applyAlignment="1" applyProtection="1">
      <alignment horizontal="center"/>
    </xf>
    <xf numFmtId="0" fontId="11" fillId="0" borderId="0" xfId="0" applyFont="1"/>
    <xf numFmtId="0" fontId="10" fillId="0" borderId="5" xfId="0" applyFont="1" applyBorder="1" applyAlignment="1">
      <alignment horizontal="left"/>
    </xf>
    <xf numFmtId="37" fontId="10" fillId="0" borderId="0" xfId="0" applyNumberFormat="1" applyFont="1" applyProtection="1"/>
    <xf numFmtId="0" fontId="10" fillId="0" borderId="0" xfId="0" applyFont="1"/>
    <xf numFmtId="0" fontId="10" fillId="0" borderId="0" xfId="0" applyFont="1" applyAlignment="1">
      <alignment horizontal="left"/>
    </xf>
    <xf numFmtId="37" fontId="10" fillId="0" borderId="0" xfId="0" applyNumberFormat="1" applyFont="1" applyAlignment="1" applyProtection="1">
      <alignment horizontal="center"/>
    </xf>
    <xf numFmtId="0" fontId="10" fillId="0" borderId="0" xfId="0" applyFont="1" applyAlignment="1">
      <alignment horizontal="center"/>
    </xf>
    <xf numFmtId="37" fontId="10" fillId="0" borderId="0" xfId="0" applyNumberFormat="1" applyFont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37" fontId="13" fillId="0" borderId="5" xfId="0" applyNumberFormat="1" applyFont="1" applyBorder="1" applyAlignment="1" applyProtection="1">
      <alignment horizont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0" fillId="0" borderId="0" xfId="0" applyNumberFormat="1"/>
    <xf numFmtId="0" fontId="9" fillId="0" borderId="5" xfId="0" applyFont="1" applyBorder="1" applyAlignment="1">
      <alignment horizontal="left"/>
    </xf>
    <xf numFmtId="0" fontId="20" fillId="0" borderId="7" xfId="0" applyFont="1" applyBorder="1" applyAlignment="1">
      <alignment horizontal="center" vertical="center"/>
    </xf>
    <xf numFmtId="37" fontId="20" fillId="0" borderId="7" xfId="0" applyNumberFormat="1" applyFont="1" applyBorder="1" applyAlignment="1" applyProtection="1">
      <alignment horizontal="center" vertical="center"/>
    </xf>
    <xf numFmtId="37" fontId="9" fillId="0" borderId="4" xfId="0" applyNumberFormat="1" applyFont="1" applyBorder="1" applyAlignment="1" applyProtection="1">
      <alignment horizontal="center" vertical="center"/>
    </xf>
    <xf numFmtId="0" fontId="21" fillId="0" borderId="0" xfId="0" applyFont="1" applyAlignment="1">
      <alignment horizontal="left"/>
    </xf>
    <xf numFmtId="37" fontId="9" fillId="0" borderId="0" xfId="0" applyNumberFormat="1" applyFont="1" applyProtection="1"/>
    <xf numFmtId="0" fontId="9" fillId="0" borderId="0" xfId="0" applyFont="1"/>
    <xf numFmtId="0" fontId="22" fillId="0" borderId="0" xfId="0" applyFont="1" applyAlignment="1">
      <alignment horizontal="left"/>
    </xf>
    <xf numFmtId="0" fontId="9" fillId="0" borderId="8" xfId="0" applyFont="1" applyBorder="1" applyAlignment="1">
      <alignment horizontal="center" vertical="center" wrapText="1"/>
    </xf>
    <xf numFmtId="37" fontId="9" fillId="0" borderId="8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horizontal="left"/>
    </xf>
    <xf numFmtId="37" fontId="9" fillId="0" borderId="0" xfId="0" applyNumberFormat="1" applyFont="1" applyAlignment="1" applyProtection="1">
      <alignment horizontal="center"/>
    </xf>
    <xf numFmtId="37" fontId="9" fillId="0" borderId="0" xfId="0" applyNumberFormat="1" applyFont="1" applyAlignment="1" applyProtection="1">
      <alignment horizontal="center" vertical="center"/>
    </xf>
    <xf numFmtId="0" fontId="8" fillId="0" borderId="0" xfId="0" applyFont="1" applyAlignment="1">
      <alignment horizontal="center"/>
    </xf>
    <xf numFmtId="37" fontId="23" fillId="0" borderId="7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37" fontId="8" fillId="0" borderId="8" xfId="0" applyNumberFormat="1" applyFont="1" applyBorder="1" applyAlignment="1" applyProtection="1">
      <alignment horizontal="center" vertical="center"/>
    </xf>
    <xf numFmtId="37" fontId="10" fillId="2" borderId="5" xfId="0" applyNumberFormat="1" applyFont="1" applyFill="1" applyBorder="1" applyAlignment="1" applyProtection="1">
      <alignment horizontal="center"/>
    </xf>
    <xf numFmtId="37" fontId="0" fillId="3" borderId="5" xfId="0" applyNumberFormat="1" applyFill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24" fillId="0" borderId="0" xfId="0" applyFont="1"/>
    <xf numFmtId="0" fontId="25" fillId="0" borderId="0" xfId="0" applyFont="1"/>
    <xf numFmtId="0" fontId="23" fillId="0" borderId="1" xfId="0" applyFont="1" applyBorder="1"/>
    <xf numFmtId="0" fontId="9" fillId="0" borderId="2" xfId="0" applyFont="1" applyBorder="1"/>
    <xf numFmtId="0" fontId="23" fillId="0" borderId="3" xfId="0" applyFont="1" applyBorder="1"/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7" fontId="8" fillId="0" borderId="7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37" fontId="9" fillId="0" borderId="7" xfId="0" applyNumberFormat="1" applyFont="1" applyBorder="1" applyAlignment="1" applyProtection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37" fontId="9" fillId="4" borderId="5" xfId="0" applyNumberFormat="1" applyFont="1" applyFill="1" applyBorder="1" applyAlignment="1" applyProtection="1">
      <alignment horizontal="center"/>
    </xf>
    <xf numFmtId="3" fontId="9" fillId="4" borderId="5" xfId="1" applyNumberFormat="1" applyFont="1" applyFill="1" applyBorder="1" applyAlignment="1" applyProtection="1">
      <alignment horizontal="center"/>
    </xf>
    <xf numFmtId="37" fontId="9" fillId="5" borderId="5" xfId="0" applyNumberFormat="1" applyFont="1" applyFill="1" applyBorder="1" applyAlignment="1" applyProtection="1">
      <alignment horizontal="center"/>
    </xf>
    <xf numFmtId="37" fontId="0" fillId="4" borderId="5" xfId="0" applyNumberFormat="1" applyFill="1" applyBorder="1" applyAlignment="1" applyProtection="1">
      <alignment horizontal="center"/>
    </xf>
    <xf numFmtId="37" fontId="14" fillId="4" borderId="5" xfId="0" applyNumberFormat="1" applyFont="1" applyFill="1" applyBorder="1" applyAlignment="1" applyProtection="1">
      <alignment horizontal="center"/>
    </xf>
    <xf numFmtId="37" fontId="0" fillId="5" borderId="5" xfId="0" applyNumberFormat="1" applyFill="1" applyBorder="1" applyAlignment="1" applyProtection="1">
      <alignment horizontal="center"/>
    </xf>
    <xf numFmtId="37" fontId="14" fillId="5" borderId="5" xfId="0" applyNumberFormat="1" applyFont="1" applyFill="1" applyBorder="1" applyAlignment="1" applyProtection="1">
      <alignment horizontal="center"/>
    </xf>
    <xf numFmtId="37" fontId="10" fillId="4" borderId="5" xfId="0" applyNumberFormat="1" applyFont="1" applyFill="1" applyBorder="1" applyAlignment="1" applyProtection="1">
      <alignment horizontal="center"/>
    </xf>
    <xf numFmtId="37" fontId="10" fillId="5" borderId="5" xfId="0" applyNumberFormat="1" applyFont="1" applyFill="1" applyBorder="1" applyAlignment="1" applyProtection="1">
      <alignment horizontal="center"/>
    </xf>
    <xf numFmtId="37" fontId="17" fillId="4" borderId="5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Alignment="1" applyProtection="1">
      <alignment horizontal="center" vertical="center"/>
    </xf>
    <xf numFmtId="37" fontId="9" fillId="0" borderId="9" xfId="0" applyNumberFormat="1" applyFont="1" applyBorder="1" applyAlignment="1" applyProtection="1">
      <alignment horizontal="center"/>
    </xf>
    <xf numFmtId="0" fontId="9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37" fontId="5" fillId="0" borderId="11" xfId="0" applyNumberFormat="1" applyFont="1" applyBorder="1" applyAlignment="1" applyProtection="1">
      <alignment horizontal="center" vertical="center"/>
    </xf>
    <xf numFmtId="0" fontId="0" fillId="0" borderId="10" xfId="0" applyBorder="1" applyAlignment="1">
      <alignment horizontal="left"/>
    </xf>
    <xf numFmtId="37" fontId="14" fillId="4" borderId="10" xfId="0" applyNumberFormat="1" applyFont="1" applyFill="1" applyBorder="1" applyAlignment="1" applyProtection="1">
      <alignment horizontal="center"/>
    </xf>
    <xf numFmtId="37" fontId="0" fillId="0" borderId="10" xfId="0" applyNumberFormat="1" applyBorder="1" applyAlignment="1" applyProtection="1">
      <alignment horizontal="center"/>
    </xf>
    <xf numFmtId="37" fontId="0" fillId="5" borderId="10" xfId="0" applyNumberFormat="1" applyFill="1" applyBorder="1" applyAlignment="1" applyProtection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37" fontId="9" fillId="2" borderId="5" xfId="0" applyNumberFormat="1" applyFont="1" applyFill="1" applyBorder="1" applyAlignment="1" applyProtection="1">
      <alignment horizontal="center"/>
    </xf>
    <xf numFmtId="0" fontId="10" fillId="0" borderId="12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3399"/>
      <color rgb="FFCC00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V67"/>
  <sheetViews>
    <sheetView defaultGridColor="0" colorId="22" zoomScale="75" zoomScaleNormal="75" workbookViewId="0">
      <pane ySplit="6" topLeftCell="A41" activePane="bottomLeft" state="frozen"/>
      <selection pane="bottomLeft" activeCell="A41" sqref="A41"/>
    </sheetView>
  </sheetViews>
  <sheetFormatPr defaultColWidth="11.77734375" defaultRowHeight="15" x14ac:dyDescent="0.2"/>
  <cols>
    <col min="1" max="1" width="16.77734375" style="53" customWidth="1"/>
    <col min="2" max="2" width="13.6640625" style="49" customWidth="1"/>
    <col min="3" max="4" width="13.77734375" style="49" customWidth="1"/>
    <col min="5" max="6" width="12.6640625" style="49" customWidth="1"/>
    <col min="7" max="7" width="12.77734375" style="49" customWidth="1"/>
    <col min="8" max="16384" width="11.77734375" style="49"/>
  </cols>
  <sheetData>
    <row r="1" spans="1:256" ht="0.75" customHeight="1" x14ac:dyDescent="0.25">
      <c r="I1" s="63"/>
    </row>
    <row r="2" spans="1:256" ht="23.25" x14ac:dyDescent="0.35">
      <c r="A2" s="3" t="s">
        <v>80</v>
      </c>
      <c r="B2" s="64"/>
      <c r="D2" s="64"/>
      <c r="F2" s="65" t="s">
        <v>66</v>
      </c>
      <c r="I2" s="63"/>
    </row>
    <row r="3" spans="1:256" ht="23.25" x14ac:dyDescent="0.35">
      <c r="A3" s="3"/>
      <c r="B3" s="64"/>
      <c r="D3" s="64"/>
      <c r="F3" s="49" t="s">
        <v>79</v>
      </c>
      <c r="I3" s="63"/>
    </row>
    <row r="4" spans="1:256" ht="16.5" customHeight="1" thickBot="1" x14ac:dyDescent="0.3">
      <c r="E4" s="63"/>
      <c r="G4" s="63"/>
      <c r="I4" s="63"/>
    </row>
    <row r="5" spans="1:256" ht="21.2" customHeight="1" thickBot="1" x14ac:dyDescent="0.3">
      <c r="B5" s="66" t="s">
        <v>0</v>
      </c>
      <c r="C5" s="67"/>
      <c r="D5" s="68" t="s">
        <v>1</v>
      </c>
      <c r="E5" s="67"/>
      <c r="F5" s="68" t="s">
        <v>2</v>
      </c>
      <c r="G5" s="67"/>
    </row>
    <row r="6" spans="1:256" ht="16.5" thickBot="1" x14ac:dyDescent="0.25">
      <c r="A6" s="69" t="s">
        <v>3</v>
      </c>
      <c r="B6" s="70" t="s">
        <v>4</v>
      </c>
      <c r="C6" s="70" t="s">
        <v>5</v>
      </c>
      <c r="D6" s="70" t="s">
        <v>4</v>
      </c>
      <c r="E6" s="70" t="s">
        <v>5</v>
      </c>
      <c r="F6" s="70" t="s">
        <v>4</v>
      </c>
      <c r="G6" s="70" t="s">
        <v>5</v>
      </c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</row>
    <row r="7" spans="1:256" x14ac:dyDescent="0.2">
      <c r="A7" s="43" t="s">
        <v>6</v>
      </c>
      <c r="B7" s="79">
        <f>300+700+747+1000+1000+920+920+396+920+920+920+882+500+500</f>
        <v>10625</v>
      </c>
      <c r="C7" s="25">
        <f t="shared" ref="C7:C54" si="0">B7</f>
        <v>10625</v>
      </c>
      <c r="D7" s="81"/>
      <c r="E7" s="25">
        <f t="shared" ref="E7:E39" si="1">D7</f>
        <v>0</v>
      </c>
      <c r="F7" s="25"/>
      <c r="G7" s="25">
        <f t="shared" ref="G7:G55" si="2">+F7</f>
        <v>0</v>
      </c>
    </row>
    <row r="8" spans="1:256" x14ac:dyDescent="0.2">
      <c r="A8" s="43" t="s">
        <v>64</v>
      </c>
      <c r="B8" s="79"/>
      <c r="C8" s="25">
        <f t="shared" si="0"/>
        <v>0</v>
      </c>
      <c r="D8" s="81"/>
      <c r="E8" s="25">
        <f t="shared" si="1"/>
        <v>0</v>
      </c>
      <c r="F8" s="25"/>
      <c r="G8" s="25">
        <f t="shared" si="2"/>
        <v>0</v>
      </c>
    </row>
    <row r="9" spans="1:256" x14ac:dyDescent="0.2">
      <c r="A9" s="43" t="s">
        <v>7</v>
      </c>
      <c r="B9" s="79">
        <f>400+550+700+550+164+886+1050+1050+1050+410+640+1050+810+240+1050+1050+650+650+700+500+750+650+640+410+750+500+500+750+750</f>
        <v>19850</v>
      </c>
      <c r="C9" s="25">
        <f t="shared" si="0"/>
        <v>19850</v>
      </c>
      <c r="D9" s="81"/>
      <c r="E9" s="25">
        <f t="shared" si="1"/>
        <v>0</v>
      </c>
      <c r="F9" s="25"/>
      <c r="G9" s="25">
        <f t="shared" si="2"/>
        <v>0</v>
      </c>
    </row>
    <row r="10" spans="1:256" x14ac:dyDescent="0.2">
      <c r="A10" s="43" t="s">
        <v>8</v>
      </c>
      <c r="B10" s="79"/>
      <c r="C10" s="25">
        <f t="shared" si="0"/>
        <v>0</v>
      </c>
      <c r="D10" s="81"/>
      <c r="E10" s="25">
        <f t="shared" si="1"/>
        <v>0</v>
      </c>
      <c r="F10" s="25"/>
      <c r="G10" s="25">
        <f t="shared" si="2"/>
        <v>0</v>
      </c>
    </row>
    <row r="11" spans="1:256" x14ac:dyDescent="0.2">
      <c r="A11" s="91" t="s">
        <v>52</v>
      </c>
      <c r="B11" s="79">
        <v>246330</v>
      </c>
      <c r="C11" s="25">
        <f>B11</f>
        <v>246330</v>
      </c>
      <c r="D11" s="81">
        <v>966</v>
      </c>
      <c r="E11" s="25">
        <f>D11</f>
        <v>966</v>
      </c>
      <c r="F11" s="25">
        <v>16807</v>
      </c>
      <c r="G11" s="90">
        <f>+F11</f>
        <v>16807</v>
      </c>
    </row>
    <row r="12" spans="1:256" x14ac:dyDescent="0.2">
      <c r="A12" s="43" t="s">
        <v>9</v>
      </c>
      <c r="B12" s="79">
        <f>1075+1075+1100+1100+1730+460+1390+1850+1850+200+1650+580+1470+1850+1730+700+1000+1730+1730+1200+1300+1300+1200+1950+1950+1616+684+2300+2300+2200+1300+1798+1798+550+1798+1798+1248+675+2300+1230+650+1100+1200+1200+550+1300+1075+1075+1075+1075+2200+2175+2250+840+1560+2200+2350+2200+2300+1700+1042+1273+2150+800+650+1100+450+1100+1200+1100+1950+2315+1000+1300+1000+1000+1300+1100+1200+1200+600+600+1075+1075+1000+1433+1000+567+1226+1024+1300+1200+1250+50558</f>
        <v>174978</v>
      </c>
      <c r="C12" s="25">
        <f t="shared" si="0"/>
        <v>174978</v>
      </c>
      <c r="D12" s="81">
        <f>170</f>
        <v>170</v>
      </c>
      <c r="E12" s="25">
        <f t="shared" si="1"/>
        <v>170</v>
      </c>
      <c r="F12" s="25"/>
      <c r="G12" s="25">
        <f t="shared" si="2"/>
        <v>0</v>
      </c>
    </row>
    <row r="13" spans="1:256" x14ac:dyDescent="0.2">
      <c r="A13" s="43" t="s">
        <v>10</v>
      </c>
      <c r="B13" s="79"/>
      <c r="C13" s="25">
        <f t="shared" si="0"/>
        <v>0</v>
      </c>
      <c r="D13" s="81"/>
      <c r="E13" s="25">
        <f t="shared" si="1"/>
        <v>0</v>
      </c>
      <c r="F13" s="25"/>
      <c r="G13" s="25">
        <f t="shared" si="2"/>
        <v>0</v>
      </c>
    </row>
    <row r="14" spans="1:256" x14ac:dyDescent="0.2">
      <c r="A14" s="43" t="s">
        <v>11</v>
      </c>
      <c r="B14" s="79"/>
      <c r="C14" s="25">
        <f t="shared" si="0"/>
        <v>0</v>
      </c>
      <c r="D14" s="81"/>
      <c r="E14" s="25">
        <f t="shared" si="1"/>
        <v>0</v>
      </c>
      <c r="F14" s="25"/>
      <c r="G14" s="25">
        <f t="shared" si="2"/>
        <v>0</v>
      </c>
    </row>
    <row r="15" spans="1:256" x14ac:dyDescent="0.2">
      <c r="A15" s="43" t="s">
        <v>12</v>
      </c>
      <c r="B15" s="79"/>
      <c r="C15" s="25">
        <f t="shared" si="0"/>
        <v>0</v>
      </c>
      <c r="D15" s="81"/>
      <c r="E15" s="25">
        <f t="shared" si="1"/>
        <v>0</v>
      </c>
      <c r="F15" s="25"/>
      <c r="G15" s="25">
        <f t="shared" si="2"/>
        <v>0</v>
      </c>
    </row>
    <row r="16" spans="1:256" x14ac:dyDescent="0.2">
      <c r="A16" s="43" t="s">
        <v>13</v>
      </c>
      <c r="B16" s="79">
        <f>2250+2250+1300</f>
        <v>5800</v>
      </c>
      <c r="C16" s="25">
        <f t="shared" si="0"/>
        <v>5800</v>
      </c>
      <c r="D16" s="81"/>
      <c r="E16" s="25">
        <f t="shared" si="1"/>
        <v>0</v>
      </c>
      <c r="F16" s="25"/>
      <c r="G16" s="25">
        <f t="shared" si="2"/>
        <v>0</v>
      </c>
    </row>
    <row r="17" spans="1:7" x14ac:dyDescent="0.2">
      <c r="A17" s="43" t="s">
        <v>14</v>
      </c>
      <c r="B17" s="79"/>
      <c r="C17" s="25">
        <f t="shared" si="0"/>
        <v>0</v>
      </c>
      <c r="D17" s="81"/>
      <c r="E17" s="25">
        <f t="shared" si="1"/>
        <v>0</v>
      </c>
      <c r="F17" s="25"/>
      <c r="G17" s="25">
        <f t="shared" si="2"/>
        <v>0</v>
      </c>
    </row>
    <row r="18" spans="1:7" x14ac:dyDescent="0.2">
      <c r="A18" s="43" t="s">
        <v>15</v>
      </c>
      <c r="B18" s="79">
        <f>700+200+679+625+447+1100+1100+669+835+835+835+500+700+1225+715+1020+1020+835+615+425+425+330+600+600+800+1255+1225+1253+667+250+1000+1252+650+1258+250+1300+394+618+618+224+618+740+763+590+589+310+562+647+647+698+698+698+600+1000+1200+750+950+1000+775+763+450+920+920+920+450+661+568+1100+510+1100+330+1000+1392+920+920+1000+740+763+920+920+450+450+270+726+1000+511+722+410+500+628+300+1000+591+591+241+591+351+1000+198324</f>
        <v>269807</v>
      </c>
      <c r="C18" s="25">
        <f>B18</f>
        <v>269807</v>
      </c>
      <c r="D18" s="81">
        <f>150+3+15+1+1+170+110+170+913</f>
        <v>1533</v>
      </c>
      <c r="E18" s="25">
        <f t="shared" si="1"/>
        <v>1533</v>
      </c>
      <c r="F18" s="25"/>
      <c r="G18" s="25">
        <f t="shared" si="2"/>
        <v>0</v>
      </c>
    </row>
    <row r="19" spans="1:7" x14ac:dyDescent="0.2">
      <c r="A19" s="43" t="s">
        <v>16</v>
      </c>
      <c r="B19" s="79">
        <f>425+260+16402</f>
        <v>17087</v>
      </c>
      <c r="C19" s="25">
        <f t="shared" si="0"/>
        <v>17087</v>
      </c>
      <c r="D19" s="81">
        <f>50+292</f>
        <v>342</v>
      </c>
      <c r="E19" s="25">
        <f t="shared" si="1"/>
        <v>342</v>
      </c>
      <c r="F19" s="25"/>
      <c r="G19" s="25">
        <f t="shared" si="2"/>
        <v>0</v>
      </c>
    </row>
    <row r="20" spans="1:7" x14ac:dyDescent="0.2">
      <c r="A20" s="43" t="s">
        <v>17</v>
      </c>
      <c r="B20" s="79">
        <f>2000+1400+1050+450+250+400+260+575+1600+550+575+650+300+1000+120+1600+1050+170+1400+1400+1250+760+5568</f>
        <v>24378</v>
      </c>
      <c r="C20" s="25">
        <f t="shared" si="0"/>
        <v>24378</v>
      </c>
      <c r="D20" s="81">
        <v>32</v>
      </c>
      <c r="E20" s="25">
        <f t="shared" si="1"/>
        <v>32</v>
      </c>
      <c r="F20" s="25"/>
      <c r="G20" s="25">
        <f t="shared" si="2"/>
        <v>0</v>
      </c>
    </row>
    <row r="21" spans="1:7" x14ac:dyDescent="0.2">
      <c r="A21" s="43" t="s">
        <v>18</v>
      </c>
      <c r="B21" s="79"/>
      <c r="C21" s="25">
        <f t="shared" si="0"/>
        <v>0</v>
      </c>
      <c r="D21" s="81">
        <f>5+7</f>
        <v>12</v>
      </c>
      <c r="E21" s="25">
        <f t="shared" si="1"/>
        <v>12</v>
      </c>
      <c r="F21" s="25"/>
      <c r="G21" s="25">
        <f t="shared" si="2"/>
        <v>0</v>
      </c>
    </row>
    <row r="22" spans="1:7" x14ac:dyDescent="0.2">
      <c r="A22" s="43" t="s">
        <v>19</v>
      </c>
      <c r="B22" s="79"/>
      <c r="C22" s="25">
        <f t="shared" si="0"/>
        <v>0</v>
      </c>
      <c r="D22" s="81"/>
      <c r="E22" s="25">
        <f t="shared" si="1"/>
        <v>0</v>
      </c>
      <c r="F22" s="25"/>
      <c r="G22" s="25">
        <f t="shared" si="2"/>
        <v>0</v>
      </c>
    </row>
    <row r="23" spans="1:7" x14ac:dyDescent="0.2">
      <c r="A23" s="43" t="s">
        <v>20</v>
      </c>
      <c r="B23" s="79"/>
      <c r="C23" s="25">
        <f t="shared" si="0"/>
        <v>0</v>
      </c>
      <c r="D23" s="81"/>
      <c r="E23" s="25">
        <f t="shared" si="1"/>
        <v>0</v>
      </c>
      <c r="F23" s="25"/>
      <c r="G23" s="25">
        <f t="shared" si="2"/>
        <v>0</v>
      </c>
    </row>
    <row r="24" spans="1:7" x14ac:dyDescent="0.2">
      <c r="A24" s="43" t="s">
        <v>21</v>
      </c>
      <c r="B24" s="79"/>
      <c r="C24" s="25">
        <f t="shared" si="0"/>
        <v>0</v>
      </c>
      <c r="D24" s="81"/>
      <c r="E24" s="25">
        <f t="shared" si="1"/>
        <v>0</v>
      </c>
      <c r="F24" s="25"/>
      <c r="G24" s="25">
        <f t="shared" si="2"/>
        <v>0</v>
      </c>
    </row>
    <row r="25" spans="1:7" x14ac:dyDescent="0.2">
      <c r="A25" s="43" t="s">
        <v>22</v>
      </c>
      <c r="B25" s="79"/>
      <c r="C25" s="25">
        <f t="shared" si="0"/>
        <v>0</v>
      </c>
      <c r="D25" s="81"/>
      <c r="E25" s="25">
        <f t="shared" si="1"/>
        <v>0</v>
      </c>
      <c r="F25" s="25"/>
      <c r="G25" s="25">
        <f t="shared" si="2"/>
        <v>0</v>
      </c>
    </row>
    <row r="26" spans="1:7" x14ac:dyDescent="0.2">
      <c r="A26" s="43" t="s">
        <v>23</v>
      </c>
      <c r="B26" s="79"/>
      <c r="C26" s="25">
        <f t="shared" si="0"/>
        <v>0</v>
      </c>
      <c r="D26" s="81">
        <v>175</v>
      </c>
      <c r="E26" s="25">
        <f>D26</f>
        <v>175</v>
      </c>
      <c r="F26" s="25"/>
      <c r="G26" s="25">
        <f t="shared" si="2"/>
        <v>0</v>
      </c>
    </row>
    <row r="27" spans="1:7" x14ac:dyDescent="0.2">
      <c r="A27" s="43" t="s">
        <v>24</v>
      </c>
      <c r="B27" s="79">
        <f>288+185+580+22+1380+500+2028+1542+850+2028+420+217+124+850+650+530+430+1000+600+300+220+600+660+660+390+488+486+520+520+650+19+589+14+290+250+500+1028+1028+1028+210+390+420+390+650+1920+2020+2020+850+260+315+360+600+2000+375+541+250+345+375+430+850+1000+3000+150+450+420+600+250+375+260+180+210+650+650+620+620+620+375+505+1000+1000+560+43+4062+115+260+335+650+2400+2400+210+2400+200+90+210+313+900+360+850+480+300+320+430+250+200+112+74145</f>
        <v>145565</v>
      </c>
      <c r="C27" s="25">
        <f t="shared" si="0"/>
        <v>145565</v>
      </c>
      <c r="D27" s="81">
        <f>325+60+1800+212+40+75+106+50+60+855</f>
        <v>3583</v>
      </c>
      <c r="E27" s="25">
        <f t="shared" si="1"/>
        <v>3583</v>
      </c>
      <c r="F27" s="25"/>
      <c r="G27" s="25">
        <f t="shared" si="2"/>
        <v>0</v>
      </c>
    </row>
    <row r="28" spans="1:7" x14ac:dyDescent="0.2">
      <c r="A28" s="43" t="s">
        <v>25</v>
      </c>
      <c r="B28" s="79">
        <v>46225</v>
      </c>
      <c r="C28" s="25">
        <f t="shared" si="0"/>
        <v>46225</v>
      </c>
      <c r="D28" s="81"/>
      <c r="E28" s="25">
        <f t="shared" si="1"/>
        <v>0</v>
      </c>
      <c r="F28" s="25"/>
      <c r="G28" s="25">
        <f t="shared" si="2"/>
        <v>0</v>
      </c>
    </row>
    <row r="29" spans="1:7" x14ac:dyDescent="0.2">
      <c r="A29" s="43" t="s">
        <v>26</v>
      </c>
      <c r="B29" s="79">
        <f>435+2065+2500+2655+2655+2500+1425+1050+760+1325+1240+595+2450+2450+2450+2450+2500+1250+1250+375+1100+2240+460+700+2640+1720+1705+555+2880+1800+600+612+320+640+1050+150+1838+1868+622+2580+2580+2580+2735+200+300+520+520+633+633+634+566+566+568+1280+2956+494+1335+100+300+310+310+621+633+629+1018+1091+2568+2480+1240+2430+625+1875+2580+2580+2580+2580+1050+1030+40+575+1000+1150+1050+1750+1250+1250+1872+228+2149+1536+1920+155+850+700+590+1800+305+1320+1389+960+1966+2119+2880+396+160+700+1950+575+2075+450+2200+325+2480+2805+750+612+613+613+612+706+600+500+750+760+171497</f>
        <v>331123</v>
      </c>
      <c r="C29" s="25">
        <f t="shared" si="0"/>
        <v>331123</v>
      </c>
      <c r="D29" s="81">
        <v>80</v>
      </c>
      <c r="E29" s="25">
        <f t="shared" si="1"/>
        <v>80</v>
      </c>
      <c r="F29" s="25">
        <f>5+16</f>
        <v>21</v>
      </c>
      <c r="G29" s="25">
        <f t="shared" si="2"/>
        <v>21</v>
      </c>
    </row>
    <row r="30" spans="1:7" x14ac:dyDescent="0.2">
      <c r="A30" s="43" t="s">
        <v>27</v>
      </c>
      <c r="B30" s="79">
        <f>1000+1200+1500+3300</f>
        <v>7000</v>
      </c>
      <c r="C30" s="25">
        <f t="shared" si="0"/>
        <v>7000</v>
      </c>
      <c r="D30" s="81"/>
      <c r="E30" s="25">
        <f t="shared" si="1"/>
        <v>0</v>
      </c>
      <c r="F30" s="25"/>
      <c r="G30" s="25">
        <f t="shared" si="2"/>
        <v>0</v>
      </c>
    </row>
    <row r="31" spans="1:7" x14ac:dyDescent="0.2">
      <c r="A31" s="43" t="s">
        <v>28</v>
      </c>
      <c r="B31" s="79">
        <f>450+800+650+600+600+1300+1100+525+1250+920+920+920+500+1300+1300+1300+97988</f>
        <v>112423</v>
      </c>
      <c r="C31" s="25">
        <f t="shared" si="0"/>
        <v>112423</v>
      </c>
      <c r="D31" s="81">
        <f>50+16+210+167+200+240+110+145+5+36+1+17</f>
        <v>1197</v>
      </c>
      <c r="E31" s="25">
        <f t="shared" si="1"/>
        <v>1197</v>
      </c>
      <c r="F31" s="25"/>
      <c r="G31" s="25">
        <f t="shared" si="2"/>
        <v>0</v>
      </c>
    </row>
    <row r="32" spans="1:7" x14ac:dyDescent="0.2">
      <c r="A32" s="43" t="s">
        <v>29</v>
      </c>
      <c r="B32" s="79"/>
      <c r="C32" s="25">
        <f t="shared" si="0"/>
        <v>0</v>
      </c>
      <c r="D32" s="81"/>
      <c r="E32" s="25">
        <f t="shared" si="1"/>
        <v>0</v>
      </c>
      <c r="F32" s="25"/>
      <c r="G32" s="25">
        <f t="shared" si="2"/>
        <v>0</v>
      </c>
    </row>
    <row r="33" spans="1:7" x14ac:dyDescent="0.2">
      <c r="A33" s="43" t="s">
        <v>30</v>
      </c>
      <c r="B33" s="79"/>
      <c r="C33" s="25">
        <f t="shared" si="0"/>
        <v>0</v>
      </c>
      <c r="D33" s="81"/>
      <c r="E33" s="25">
        <f t="shared" si="1"/>
        <v>0</v>
      </c>
      <c r="F33" s="25"/>
      <c r="G33" s="25">
        <f t="shared" si="2"/>
        <v>0</v>
      </c>
    </row>
    <row r="34" spans="1:7" x14ac:dyDescent="0.2">
      <c r="A34" s="43" t="s">
        <v>31</v>
      </c>
      <c r="B34" s="79"/>
      <c r="C34" s="25">
        <f t="shared" si="0"/>
        <v>0</v>
      </c>
      <c r="D34" s="81"/>
      <c r="E34" s="25">
        <f t="shared" si="1"/>
        <v>0</v>
      </c>
      <c r="F34" s="25"/>
      <c r="G34" s="25">
        <f t="shared" si="2"/>
        <v>0</v>
      </c>
    </row>
    <row r="35" spans="1:7" x14ac:dyDescent="0.2">
      <c r="A35" s="43" t="s">
        <v>32</v>
      </c>
      <c r="B35" s="79"/>
      <c r="C35" s="25">
        <f t="shared" si="0"/>
        <v>0</v>
      </c>
      <c r="D35" s="81"/>
      <c r="E35" s="25">
        <f t="shared" si="1"/>
        <v>0</v>
      </c>
      <c r="F35" s="25"/>
      <c r="G35" s="25">
        <f t="shared" si="2"/>
        <v>0</v>
      </c>
    </row>
    <row r="36" spans="1:7" x14ac:dyDescent="0.2">
      <c r="A36" s="43" t="s">
        <v>33</v>
      </c>
      <c r="B36" s="79"/>
      <c r="C36" s="25">
        <f t="shared" si="0"/>
        <v>0</v>
      </c>
      <c r="D36" s="81"/>
      <c r="E36" s="25">
        <f t="shared" si="1"/>
        <v>0</v>
      </c>
      <c r="F36" s="25"/>
      <c r="G36" s="25">
        <f t="shared" si="2"/>
        <v>0</v>
      </c>
    </row>
    <row r="37" spans="1:7" x14ac:dyDescent="0.2">
      <c r="A37" s="43" t="s">
        <v>34</v>
      </c>
      <c r="B37" s="79">
        <f>700+700+1800+750+132550</f>
        <v>136500</v>
      </c>
      <c r="C37" s="25">
        <f t="shared" si="0"/>
        <v>136500</v>
      </c>
      <c r="D37" s="81"/>
      <c r="E37" s="25">
        <f t="shared" si="1"/>
        <v>0</v>
      </c>
      <c r="F37" s="25"/>
      <c r="G37" s="25">
        <f t="shared" si="2"/>
        <v>0</v>
      </c>
    </row>
    <row r="38" spans="1:7" x14ac:dyDescent="0.2">
      <c r="A38" s="43" t="s">
        <v>35</v>
      </c>
      <c r="B38" s="79">
        <f>2250+1125+1125+1200+1200+5225+2300+2200+1200+2500+2500+2500+2500+2500+2050+2050</f>
        <v>34425</v>
      </c>
      <c r="C38" s="25">
        <f t="shared" si="0"/>
        <v>34425</v>
      </c>
      <c r="D38" s="81">
        <f>60+180+260</f>
        <v>500</v>
      </c>
      <c r="E38" s="25">
        <f t="shared" si="1"/>
        <v>500</v>
      </c>
      <c r="F38" s="25"/>
      <c r="G38" s="25">
        <f t="shared" si="2"/>
        <v>0</v>
      </c>
    </row>
    <row r="39" spans="1:7" x14ac:dyDescent="0.2">
      <c r="A39" s="43" t="s">
        <v>36</v>
      </c>
      <c r="B39" s="79">
        <v>14071</v>
      </c>
      <c r="C39" s="25">
        <f t="shared" si="0"/>
        <v>14071</v>
      </c>
      <c r="D39" s="81">
        <f>5+30+30</f>
        <v>65</v>
      </c>
      <c r="E39" s="25">
        <f t="shared" si="1"/>
        <v>65</v>
      </c>
      <c r="F39" s="25"/>
      <c r="G39" s="25">
        <f t="shared" si="2"/>
        <v>0</v>
      </c>
    </row>
    <row r="40" spans="1:7" x14ac:dyDescent="0.2">
      <c r="A40" s="43" t="s">
        <v>37</v>
      </c>
      <c r="B40" s="79">
        <f>170+105+1140+1740+170+1020+2160+1640+2160+2160+1750+1430+2160+2160+200+1610+1850+325+350+285+220+340+285+340+375+365+265+150+600+1670+2160+600+600+600+1620+2160+600+600+600+600+600+600+74+120+173317</f>
        <v>214046</v>
      </c>
      <c r="C40" s="25">
        <f t="shared" si="0"/>
        <v>214046</v>
      </c>
      <c r="D40" s="81"/>
      <c r="E40" s="25">
        <f t="shared" ref="E40:E55" si="3">D40</f>
        <v>0</v>
      </c>
      <c r="F40" s="25"/>
      <c r="G40" s="25">
        <f t="shared" si="2"/>
        <v>0</v>
      </c>
    </row>
    <row r="41" spans="1:7" x14ac:dyDescent="0.2">
      <c r="A41" s="43" t="s">
        <v>38</v>
      </c>
      <c r="B41" s="79"/>
      <c r="C41" s="25">
        <f t="shared" si="0"/>
        <v>0</v>
      </c>
      <c r="D41" s="81"/>
      <c r="E41" s="25">
        <f t="shared" si="3"/>
        <v>0</v>
      </c>
      <c r="F41" s="25"/>
      <c r="G41" s="25">
        <f t="shared" si="2"/>
        <v>0</v>
      </c>
    </row>
    <row r="42" spans="1:7" x14ac:dyDescent="0.2">
      <c r="A42" s="43" t="s">
        <v>39</v>
      </c>
      <c r="B42" s="79">
        <f>400+400+400+400+400+400</f>
        <v>2400</v>
      </c>
      <c r="C42" s="25">
        <f t="shared" si="0"/>
        <v>2400</v>
      </c>
      <c r="D42" s="81"/>
      <c r="E42" s="25">
        <f t="shared" si="3"/>
        <v>0</v>
      </c>
      <c r="F42" s="25"/>
      <c r="G42" s="25">
        <f t="shared" si="2"/>
        <v>0</v>
      </c>
    </row>
    <row r="43" spans="1:7" x14ac:dyDescent="0.2">
      <c r="A43" s="43" t="s">
        <v>40</v>
      </c>
      <c r="B43" s="79"/>
      <c r="C43" s="25">
        <f t="shared" si="0"/>
        <v>0</v>
      </c>
      <c r="D43" s="81"/>
      <c r="E43" s="25">
        <f t="shared" si="3"/>
        <v>0</v>
      </c>
      <c r="F43" s="25"/>
      <c r="G43" s="25">
        <f t="shared" si="2"/>
        <v>0</v>
      </c>
    </row>
    <row r="44" spans="1:7" x14ac:dyDescent="0.2">
      <c r="A44" s="43" t="s">
        <v>41</v>
      </c>
      <c r="B44" s="79"/>
      <c r="C44" s="25">
        <f t="shared" si="0"/>
        <v>0</v>
      </c>
      <c r="D44" s="81"/>
      <c r="E44" s="25">
        <f t="shared" si="3"/>
        <v>0</v>
      </c>
      <c r="F44" s="25"/>
      <c r="G44" s="25">
        <f t="shared" si="2"/>
        <v>0</v>
      </c>
    </row>
    <row r="45" spans="1:7" x14ac:dyDescent="0.2">
      <c r="A45" s="43" t="s">
        <v>42</v>
      </c>
      <c r="B45" s="80">
        <f>1275+1000+2056+2056+630+630+630+630+540+540+1100+600+600+600+1200+1300+800+4800+583+606+564+602+597+525+2400+1200+1000+1200+16676</f>
        <v>46940</v>
      </c>
      <c r="C45" s="25">
        <f t="shared" si="0"/>
        <v>46940</v>
      </c>
      <c r="D45" s="81">
        <f>900+90+1348</f>
        <v>2338</v>
      </c>
      <c r="E45" s="25">
        <f>D45</f>
        <v>2338</v>
      </c>
      <c r="F45" s="25"/>
      <c r="G45" s="25">
        <f t="shared" si="2"/>
        <v>0</v>
      </c>
    </row>
    <row r="46" spans="1:7" x14ac:dyDescent="0.2">
      <c r="A46" s="43" t="s">
        <v>43</v>
      </c>
      <c r="B46" s="79"/>
      <c r="C46" s="25">
        <f t="shared" si="0"/>
        <v>0</v>
      </c>
      <c r="D46" s="81"/>
      <c r="E46" s="25">
        <f t="shared" si="3"/>
        <v>0</v>
      </c>
      <c r="F46" s="25"/>
      <c r="G46" s="25">
        <f t="shared" si="2"/>
        <v>0</v>
      </c>
    </row>
    <row r="47" spans="1:7" x14ac:dyDescent="0.2">
      <c r="A47" s="43" t="s">
        <v>44</v>
      </c>
      <c r="B47" s="79">
        <v>42720</v>
      </c>
      <c r="C47" s="25">
        <f t="shared" si="0"/>
        <v>42720</v>
      </c>
      <c r="D47" s="81">
        <f>4</f>
        <v>4</v>
      </c>
      <c r="E47" s="25">
        <f t="shared" si="3"/>
        <v>4</v>
      </c>
      <c r="F47" s="25"/>
      <c r="G47" s="25">
        <f t="shared" si="2"/>
        <v>0</v>
      </c>
    </row>
    <row r="48" spans="1:7" ht="14.45" customHeight="1" x14ac:dyDescent="0.2">
      <c r="A48" s="43" t="s">
        <v>45</v>
      </c>
      <c r="B48" s="79">
        <v>35740</v>
      </c>
      <c r="C48" s="25">
        <f t="shared" si="0"/>
        <v>35740</v>
      </c>
      <c r="D48" s="81"/>
      <c r="E48" s="25">
        <f t="shared" si="3"/>
        <v>0</v>
      </c>
      <c r="F48" s="25"/>
      <c r="G48" s="25">
        <f t="shared" si="2"/>
        <v>0</v>
      </c>
    </row>
    <row r="49" spans="1:256" x14ac:dyDescent="0.2">
      <c r="A49" s="43" t="s">
        <v>46</v>
      </c>
      <c r="B49" s="79"/>
      <c r="C49" s="25">
        <f t="shared" si="0"/>
        <v>0</v>
      </c>
      <c r="D49" s="81"/>
      <c r="E49" s="25">
        <f t="shared" si="3"/>
        <v>0</v>
      </c>
      <c r="F49" s="25"/>
      <c r="G49" s="25">
        <f t="shared" si="2"/>
        <v>0</v>
      </c>
    </row>
    <row r="50" spans="1:256" x14ac:dyDescent="0.2">
      <c r="A50" s="43" t="s">
        <v>47</v>
      </c>
      <c r="B50" s="79"/>
      <c r="C50" s="25">
        <f t="shared" si="0"/>
        <v>0</v>
      </c>
      <c r="D50" s="81"/>
      <c r="E50" s="25">
        <f t="shared" si="3"/>
        <v>0</v>
      </c>
      <c r="F50" s="25"/>
      <c r="G50" s="25">
        <f t="shared" si="2"/>
        <v>0</v>
      </c>
    </row>
    <row r="51" spans="1:256" x14ac:dyDescent="0.2">
      <c r="A51" s="43" t="s">
        <v>48</v>
      </c>
      <c r="B51" s="79"/>
      <c r="C51" s="25">
        <f t="shared" si="0"/>
        <v>0</v>
      </c>
      <c r="D51" s="81"/>
      <c r="E51" s="25">
        <f t="shared" si="3"/>
        <v>0</v>
      </c>
      <c r="F51" s="25"/>
      <c r="G51" s="25">
        <f t="shared" si="2"/>
        <v>0</v>
      </c>
    </row>
    <row r="52" spans="1:256" x14ac:dyDescent="0.2">
      <c r="A52" s="43" t="s">
        <v>49</v>
      </c>
      <c r="B52" s="79"/>
      <c r="C52" s="25">
        <f t="shared" si="0"/>
        <v>0</v>
      </c>
      <c r="D52" s="81"/>
      <c r="E52" s="25">
        <f t="shared" si="3"/>
        <v>0</v>
      </c>
      <c r="F52" s="25"/>
      <c r="G52" s="25">
        <f t="shared" si="2"/>
        <v>0</v>
      </c>
    </row>
    <row r="53" spans="1:256" x14ac:dyDescent="0.2">
      <c r="A53" s="43" t="s">
        <v>50</v>
      </c>
      <c r="B53" s="79">
        <f>1200+400+860+950+865+250+255+250+320+206+400+600+125+160+150+165+400+160+240+200+200+810</f>
        <v>9166</v>
      </c>
      <c r="C53" s="25">
        <f t="shared" si="0"/>
        <v>9166</v>
      </c>
      <c r="D53" s="81">
        <f>116+10+3+950</f>
        <v>1079</v>
      </c>
      <c r="E53" s="25">
        <f t="shared" si="3"/>
        <v>1079</v>
      </c>
      <c r="F53" s="25"/>
      <c r="G53" s="25">
        <f t="shared" si="2"/>
        <v>0</v>
      </c>
    </row>
    <row r="54" spans="1:256" ht="15.75" thickBot="1" x14ac:dyDescent="0.25">
      <c r="A54" s="43" t="s">
        <v>51</v>
      </c>
      <c r="B54" s="79">
        <f>950+1500+1000+2060+300+2360+836+1524+2360+2025+2635+2360+1720+640+2025+1535+2175+1470+637+1043+1730+1785+2360+1785+1725+230+295+1745+1340+1020</f>
        <v>45170</v>
      </c>
      <c r="C54" s="25">
        <f t="shared" si="0"/>
        <v>45170</v>
      </c>
      <c r="D54" s="81"/>
      <c r="E54" s="25">
        <f t="shared" si="3"/>
        <v>0</v>
      </c>
      <c r="F54" s="25"/>
      <c r="G54" s="25">
        <f t="shared" si="2"/>
        <v>0</v>
      </c>
    </row>
    <row r="55" spans="1:256" ht="26.1" customHeight="1" thickBot="1" x14ac:dyDescent="0.25">
      <c r="A55" s="44" t="s">
        <v>53</v>
      </c>
      <c r="B55" s="45">
        <f>SUM(B7:B54)</f>
        <v>1992369</v>
      </c>
      <c r="C55" s="45">
        <f>SUM(C7:C54)</f>
        <v>1992369</v>
      </c>
      <c r="D55" s="45">
        <f>SUM(D7:D54)</f>
        <v>12076</v>
      </c>
      <c r="E55" s="46">
        <f t="shared" si="3"/>
        <v>12076</v>
      </c>
      <c r="F55" s="74">
        <f>SUM(F7:F54)</f>
        <v>16828</v>
      </c>
      <c r="G55" s="72">
        <f t="shared" si="2"/>
        <v>16828</v>
      </c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3"/>
      <c r="GN55" s="73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3"/>
      <c r="HC55" s="73"/>
      <c r="HD55" s="73"/>
      <c r="HE55" s="73"/>
      <c r="HF55" s="73"/>
      <c r="HG55" s="73"/>
      <c r="HH55" s="73"/>
      <c r="HI55" s="73"/>
      <c r="HJ55" s="73"/>
      <c r="HK55" s="73"/>
      <c r="HL55" s="73"/>
      <c r="HM55" s="73"/>
      <c r="HN55" s="73"/>
      <c r="HO55" s="73"/>
      <c r="HP55" s="73"/>
      <c r="HQ55" s="73"/>
      <c r="HR55" s="73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3"/>
      <c r="IG55" s="73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  <c r="IT55" s="73"/>
      <c r="IU55" s="73"/>
      <c r="IV55" s="73"/>
    </row>
    <row r="56" spans="1:256" ht="18" x14ac:dyDescent="0.25">
      <c r="A56" s="47"/>
      <c r="B56" s="48"/>
      <c r="C56" s="48"/>
      <c r="D56" s="48"/>
      <c r="E56" s="48"/>
    </row>
    <row r="57" spans="1:256" ht="15.75" thickBot="1" x14ac:dyDescent="0.25">
      <c r="A57" s="50" t="s">
        <v>54</v>
      </c>
      <c r="B57" s="48"/>
      <c r="C57" s="51" t="s">
        <v>4</v>
      </c>
      <c r="D57" s="52" t="s">
        <v>5</v>
      </c>
      <c r="E57" s="48"/>
    </row>
    <row r="58" spans="1:256" x14ac:dyDescent="0.2">
      <c r="A58" s="53" t="s">
        <v>55</v>
      </c>
      <c r="B58" s="54"/>
      <c r="C58" s="26"/>
      <c r="D58" s="55">
        <f t="shared" ref="D58:D67" si="4">C58</f>
        <v>0</v>
      </c>
      <c r="E58" s="48"/>
    </row>
    <row r="59" spans="1:256" ht="15.75" x14ac:dyDescent="0.25">
      <c r="A59" s="53" t="s">
        <v>56</v>
      </c>
      <c r="B59" s="26"/>
      <c r="C59" s="26">
        <v>1540</v>
      </c>
      <c r="D59" s="55">
        <f t="shared" si="4"/>
        <v>1540</v>
      </c>
      <c r="F59" s="63"/>
      <c r="G59" s="63"/>
    </row>
    <row r="60" spans="1:256" ht="15.75" x14ac:dyDescent="0.25">
      <c r="A60" s="53" t="s">
        <v>57</v>
      </c>
      <c r="B60" s="26"/>
      <c r="C60" s="26"/>
      <c r="D60" s="55">
        <f t="shared" si="4"/>
        <v>0</v>
      </c>
      <c r="F60" s="63"/>
      <c r="G60" s="63"/>
    </row>
    <row r="61" spans="1:256" ht="15.75" x14ac:dyDescent="0.25">
      <c r="A61" s="53" t="s">
        <v>58</v>
      </c>
      <c r="B61" s="26"/>
      <c r="C61" s="26"/>
      <c r="D61" s="55">
        <f t="shared" si="4"/>
        <v>0</v>
      </c>
      <c r="F61" s="63"/>
      <c r="G61" s="63"/>
    </row>
    <row r="62" spans="1:256" x14ac:dyDescent="0.2">
      <c r="A62" s="53" t="s">
        <v>59</v>
      </c>
      <c r="B62" s="26"/>
      <c r="C62" s="26">
        <f>85+85+100+280+135+150+280+175+45+135+280+110+180+175+150+45+280+135+110+100+80+75+275+160+70+70+325+225+150+280+175+45+45+110+75+275+160+70+85+100+100+250+100+100+85+70+275+400+100+185+135+110+280+45+175+280+150+100+100+85+160+70+675+375+290+310+180+170+190+50+130+90+10+300+140+310+90+260+100+175+140+150+60+150+140+220+250+150+300+70+150+300+310+150+55+175+200+170+140+300+175+70+150+55+175+200+150+130+55+150+175+70+175+60+210+160+90+170+160+300+120+250+20+14+96+40+8+175+100+250+60+30+8+96+20+32+16+16+10+175+250+70+85+485+160+70+75+390+175+460+70+325+85+470+85+570+520+55+200+70+150+175+150+70+175+130+55+150+175+150+90+75+130+60+230+90+160+64+130+200+250+160+230+90+50+90+20+60+500+280+130+150+250+150+300+160+70+285+270+250+200+55+320+270+175+62+199+95+137+115+51+1350+1310+55+150+175+580+160+130+380+270+175+130+55+150+175+150+200+175+55+150+370+175+80+16+280+175+150+45+135+280+110+175+70+150+70+450+55+175+250+250+170+175+150+55+130+14+84+56+34+150+460+150+190+80+170+120+330+3600</f>
        <v>49338</v>
      </c>
      <c r="D62" s="55">
        <f>C62</f>
        <v>49338</v>
      </c>
      <c r="F62" s="49">
        <f>500+500+350+500+150+500+500+500</f>
        <v>3500</v>
      </c>
    </row>
    <row r="63" spans="1:256" x14ac:dyDescent="0.2">
      <c r="A63" s="53" t="s">
        <v>65</v>
      </c>
      <c r="B63" s="26"/>
      <c r="C63" s="26">
        <f>80+90+170+75+30+60+100+160+70+116+75+55+12+170+35+200+70+45+170+75+20+80+180+40+16+80+90+170+60+20+70+106+70+36+100+200+90+80+160+45+150+30+35+65+170+30+20+20+75+170+35+190+80+55+90+16+60+100+90+40+80+160+70+106+170+75+60+150+60+106+70+45+65+80+90+80+90+170+60+55+170+75+106+70+160+30+35+75+170+40+90+14+150+35+50+100+60+80+90+55+170+75+116+70+180+80+80+60+100+42+90+175+12+90+55+170+75+99+70+70+106+45+160+75+170+80+80+60+142+90+175+12+90+55+170+75+99+70+70+106+45+160+75+170+80</f>
        <v>12928</v>
      </c>
      <c r="D63" s="55">
        <f t="shared" si="4"/>
        <v>12928</v>
      </c>
    </row>
    <row r="64" spans="1:256" x14ac:dyDescent="0.2">
      <c r="A64" s="53" t="s">
        <v>63</v>
      </c>
      <c r="B64" s="26"/>
      <c r="C64" s="26">
        <f>40+40+75+10+156+22+120+27+4+30+105+130+68+170+140+250+170+180+85+80+65+65+65+90+35+250+175+140+85+40+40+75+15+230+78+118+21+80+19+28+12+33+35+70+34+175+134+18+56+22+35+36+9+19+80+26+56+22+230+15+75+57+40+70+39+35+30+120+100+10+75+40+86+70+35+33+12+105+140+170+200+285+40+32+140+40+65+40+85+140+40+140+85+140+155+200+80+35+95+26+50+68+85+105+140+120+85+180+210+250+190+65+40+68+26+70+175+33+12+35+70+45+40+85+26+140+90+85+140+170+200+75+210+36+80+43+95+33+12+33+30+170+250+75+36+120+78+140+170+200+90+26+26+68+130+105+140+170+85+150+170+250+60+26+68+40+140+130+50+140+110+140+140+140+140+150+130+140+140+80+140+50+150+140+140+35+19+80+56+22+230+15+75+59+73+12+20+54+70+35+140+20+105+180+68+95+35+8+120+38+22+110+75+80+105+60+20+45+70+35+50+30+30+65+40+30+44+120+56+22+110+75+40+40+33+12+53+115+80+45+70+35+75+50+45+20+55+105+119+80+74+22+230+90+80+43+120+56+22+110+75+40+19+80+23+58+22+230+15+75+57+40+175+44+70+22+100+33+12+68+35+120+58+22+110+40+73+12+26+175+35+70+35+50+19+80+78+230+15+75+57+40+33+12+20+175+110+35+126+85+370+250+85+68+130+105+140+170+26+110+90+85+150+170+225+65+140+40+75+70+105+68+40+24+85+180+140+250+80+140+170+68+130+46+45+80+110+135+50+30+210+75+80+56+22+19+66+230+15+75+57+40+60+45+20+175+45+70+35+80+26+200+42+85+160+170+225+365+68+40+170+26+140+170+85+180+170+250+105+68+130</f>
        <v>34192</v>
      </c>
      <c r="D64" s="55">
        <f t="shared" si="4"/>
        <v>34192</v>
      </c>
    </row>
    <row r="65" spans="1:4" x14ac:dyDescent="0.2">
      <c r="A65" s="53" t="s">
        <v>60</v>
      </c>
      <c r="C65" s="26"/>
      <c r="D65" s="55">
        <f t="shared" si="4"/>
        <v>0</v>
      </c>
    </row>
    <row r="66" spans="1:4" x14ac:dyDescent="0.2">
      <c r="A66" s="53" t="s">
        <v>61</v>
      </c>
      <c r="C66" s="26">
        <f>1220+205+115+220</f>
        <v>1760</v>
      </c>
      <c r="D66" s="55">
        <f t="shared" si="4"/>
        <v>1760</v>
      </c>
    </row>
    <row r="67" spans="1:4" x14ac:dyDescent="0.2">
      <c r="A67" s="53" t="s">
        <v>62</v>
      </c>
      <c r="C67" s="26">
        <v>1980</v>
      </c>
      <c r="D67" s="55">
        <f t="shared" si="4"/>
        <v>1980</v>
      </c>
    </row>
  </sheetData>
  <phoneticPr fontId="0" type="noConversion"/>
  <printOptions horizontalCentered="1" verticalCentered="1"/>
  <pageMargins left="0.5" right="0.5" top="0.5" bottom="0.5" header="0.5" footer="0.5"/>
  <pageSetup scale="71" orientation="portrait" horizontalDpi="4294967292" r:id="rId1"/>
  <headerFooter alignWithMargins="0"/>
  <rowBreaks count="1" manualBreakCount="1">
    <brk id="64" max="6553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5" zoomScaleNormal="75" workbookViewId="0">
      <pane ySplit="6" topLeftCell="A7" activePane="bottomLeft" state="frozen"/>
      <selection pane="bottomLeft" activeCell="A7" sqref="A7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3.109375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74</v>
      </c>
      <c r="I2" s="2"/>
    </row>
    <row r="3" spans="1:256" ht="12.95" customHeight="1" x14ac:dyDescent="0.25">
      <c r="F3" t="s">
        <v>77</v>
      </c>
      <c r="I3" s="2"/>
    </row>
    <row r="4" spans="1:256" ht="12.95" customHeight="1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2"/>
      <c r="C7" s="12">
        <f>September!C7+B7</f>
        <v>71629</v>
      </c>
      <c r="D7" s="84"/>
      <c r="E7" s="12">
        <f>September!E7+D7</f>
        <v>0</v>
      </c>
      <c r="F7" s="61"/>
      <c r="G7" s="12">
        <f>September!G7+F7</f>
        <v>0</v>
      </c>
    </row>
    <row r="8" spans="1:256" x14ac:dyDescent="0.2">
      <c r="A8" s="11" t="s">
        <v>64</v>
      </c>
      <c r="B8" s="82"/>
      <c r="C8" s="12">
        <f>September!C8+B8</f>
        <v>1</v>
      </c>
      <c r="D8" s="84"/>
      <c r="E8" s="12">
        <f>September!E8+D8</f>
        <v>19</v>
      </c>
      <c r="F8" s="61"/>
      <c r="G8" s="12">
        <f>September!G8+F8</f>
        <v>0</v>
      </c>
    </row>
    <row r="9" spans="1:256" x14ac:dyDescent="0.2">
      <c r="A9" s="11" t="s">
        <v>7</v>
      </c>
      <c r="B9" s="82"/>
      <c r="C9" s="12">
        <f>September!C9+B9</f>
        <v>221430</v>
      </c>
      <c r="D9" s="84"/>
      <c r="E9" s="12">
        <f>September!E9+D9</f>
        <v>40</v>
      </c>
      <c r="F9" s="61"/>
      <c r="G9" s="12">
        <f>September!G9+F9</f>
        <v>0</v>
      </c>
    </row>
    <row r="10" spans="1:256" x14ac:dyDescent="0.2">
      <c r="A10" s="11" t="s">
        <v>8</v>
      </c>
      <c r="B10" s="82"/>
      <c r="C10" s="12">
        <f>September!C10+B10</f>
        <v>0</v>
      </c>
      <c r="D10" s="84"/>
      <c r="E10" s="12">
        <f>September!E10+D10</f>
        <v>47</v>
      </c>
      <c r="F10" s="61"/>
      <c r="G10" s="12">
        <f>September!G10+F10</f>
        <v>0</v>
      </c>
    </row>
    <row r="11" spans="1:256" x14ac:dyDescent="0.2">
      <c r="A11" s="11" t="s">
        <v>9</v>
      </c>
      <c r="B11" s="82"/>
      <c r="C11" s="12">
        <f>September!C11+B11</f>
        <v>937525</v>
      </c>
      <c r="D11" s="84"/>
      <c r="E11" s="12">
        <f>September!E11+D11</f>
        <v>364</v>
      </c>
      <c r="F11" s="61"/>
      <c r="G11" s="12">
        <f>September!G11+F11</f>
        <v>0</v>
      </c>
    </row>
    <row r="12" spans="1:256" x14ac:dyDescent="0.2">
      <c r="A12" s="11" t="s">
        <v>10</v>
      </c>
      <c r="B12" s="82"/>
      <c r="C12" s="12">
        <f>September!C12+B12</f>
        <v>0</v>
      </c>
      <c r="D12" s="84"/>
      <c r="E12" s="12">
        <f>September!E12+D12</f>
        <v>0</v>
      </c>
      <c r="F12" s="61"/>
      <c r="G12" s="12">
        <f>September!G12+F12</f>
        <v>0</v>
      </c>
    </row>
    <row r="13" spans="1:256" x14ac:dyDescent="0.2">
      <c r="A13" s="11" t="s">
        <v>11</v>
      </c>
      <c r="B13" s="82"/>
      <c r="C13" s="12">
        <f>September!C13+B13</f>
        <v>0</v>
      </c>
      <c r="D13" s="84"/>
      <c r="E13" s="12">
        <f>September!E13+D13</f>
        <v>0</v>
      </c>
      <c r="F13" s="61"/>
      <c r="G13" s="12">
        <f>September!G13+F13</f>
        <v>0</v>
      </c>
    </row>
    <row r="14" spans="1:256" x14ac:dyDescent="0.2">
      <c r="A14" s="11" t="s">
        <v>12</v>
      </c>
      <c r="B14" s="82"/>
      <c r="C14" s="12">
        <f>September!C14+B14</f>
        <v>0</v>
      </c>
      <c r="D14" s="84"/>
      <c r="E14" s="12">
        <f>September!E14+D14</f>
        <v>0</v>
      </c>
      <c r="F14" s="61"/>
      <c r="G14" s="12">
        <f>September!G14+F14</f>
        <v>0</v>
      </c>
    </row>
    <row r="15" spans="1:256" x14ac:dyDescent="0.2">
      <c r="A15" s="11" t="s">
        <v>13</v>
      </c>
      <c r="B15" s="82"/>
      <c r="C15" s="12">
        <f>September!C15+B15</f>
        <v>38522</v>
      </c>
      <c r="D15" s="84"/>
      <c r="E15" s="12">
        <f>September!E15+D15</f>
        <v>1</v>
      </c>
      <c r="F15" s="61"/>
      <c r="G15" s="12">
        <f>September!G15+F15</f>
        <v>0</v>
      </c>
    </row>
    <row r="16" spans="1:256" x14ac:dyDescent="0.2">
      <c r="A16" s="11" t="s">
        <v>14</v>
      </c>
      <c r="B16" s="82"/>
      <c r="C16" s="12">
        <f>September!C16+B16</f>
        <v>0</v>
      </c>
      <c r="D16" s="84"/>
      <c r="E16" s="12">
        <f>September!E16+D16</f>
        <v>2</v>
      </c>
      <c r="F16" s="61"/>
      <c r="G16" s="12">
        <f>September!G16+F16</f>
        <v>0</v>
      </c>
    </row>
    <row r="17" spans="1:7" x14ac:dyDescent="0.2">
      <c r="A17" s="11" t="s">
        <v>15</v>
      </c>
      <c r="B17" s="82"/>
      <c r="C17" s="12">
        <f>September!C17+B17</f>
        <v>2816751</v>
      </c>
      <c r="D17" s="84"/>
      <c r="E17" s="12">
        <f>September!E17+D17</f>
        <v>14469</v>
      </c>
      <c r="F17" s="61"/>
      <c r="G17" s="12">
        <f>September!G17+F17</f>
        <v>0</v>
      </c>
    </row>
    <row r="18" spans="1:7" x14ac:dyDescent="0.2">
      <c r="A18" s="11" t="s">
        <v>16</v>
      </c>
      <c r="B18" s="82"/>
      <c r="C18" s="12">
        <f>September!C18+B18</f>
        <v>109472</v>
      </c>
      <c r="D18" s="84"/>
      <c r="E18" s="12">
        <f>September!E18+D18</f>
        <v>1504</v>
      </c>
      <c r="F18" s="61"/>
      <c r="G18" s="12">
        <f>September!G18+F18</f>
        <v>0</v>
      </c>
    </row>
    <row r="19" spans="1:7" x14ac:dyDescent="0.2">
      <c r="A19" s="11" t="s">
        <v>17</v>
      </c>
      <c r="B19" s="82"/>
      <c r="C19" s="12">
        <f>September!C19+B19</f>
        <v>153763</v>
      </c>
      <c r="D19" s="84"/>
      <c r="E19" s="12">
        <f>September!E19+D19</f>
        <v>3146</v>
      </c>
      <c r="F19" s="61"/>
      <c r="G19" s="12">
        <f>September!G19+F19</f>
        <v>0</v>
      </c>
    </row>
    <row r="20" spans="1:7" x14ac:dyDescent="0.2">
      <c r="A20" s="11" t="s">
        <v>18</v>
      </c>
      <c r="B20" s="82"/>
      <c r="C20" s="12">
        <f>September!C20+B20</f>
        <v>58</v>
      </c>
      <c r="D20" s="84"/>
      <c r="E20" s="12">
        <f>September!E20+D20</f>
        <v>887</v>
      </c>
      <c r="F20" s="61"/>
      <c r="G20" s="12">
        <f>September!G20+F20</f>
        <v>0</v>
      </c>
    </row>
    <row r="21" spans="1:7" x14ac:dyDescent="0.2">
      <c r="A21" s="11" t="s">
        <v>19</v>
      </c>
      <c r="B21" s="82"/>
      <c r="C21" s="12">
        <f>September!C21+B21</f>
        <v>0</v>
      </c>
      <c r="D21" s="84"/>
      <c r="E21" s="12">
        <f>September!E21+D21</f>
        <v>0</v>
      </c>
      <c r="F21" s="61"/>
      <c r="G21" s="12">
        <f>September!G21+F21</f>
        <v>0</v>
      </c>
    </row>
    <row r="22" spans="1:7" x14ac:dyDescent="0.2">
      <c r="A22" s="11" t="s">
        <v>20</v>
      </c>
      <c r="B22" s="82"/>
      <c r="C22" s="12">
        <f>September!C22+B22</f>
        <v>0</v>
      </c>
      <c r="D22" s="84"/>
      <c r="E22" s="12">
        <f>September!E22+D22</f>
        <v>0</v>
      </c>
      <c r="F22" s="61"/>
      <c r="G22" s="12">
        <f>September!G22+F22</f>
        <v>0</v>
      </c>
    </row>
    <row r="23" spans="1:7" x14ac:dyDescent="0.2">
      <c r="A23" s="11" t="s">
        <v>21</v>
      </c>
      <c r="B23" s="82"/>
      <c r="C23" s="12">
        <f>September!C23+B23</f>
        <v>0</v>
      </c>
      <c r="D23" s="84"/>
      <c r="E23" s="12">
        <f>September!E23+D23</f>
        <v>1</v>
      </c>
      <c r="F23" s="61"/>
      <c r="G23" s="12">
        <f>September!G23+F23</f>
        <v>0</v>
      </c>
    </row>
    <row r="24" spans="1:7" x14ac:dyDescent="0.2">
      <c r="A24" s="11" t="s">
        <v>22</v>
      </c>
      <c r="B24" s="82"/>
      <c r="C24" s="12">
        <f>September!C24+B24</f>
        <v>0</v>
      </c>
      <c r="D24" s="84"/>
      <c r="E24" s="12">
        <f>September!E24+D24</f>
        <v>0</v>
      </c>
      <c r="F24" s="61"/>
      <c r="G24" s="12">
        <f>September!G24+F24</f>
        <v>0</v>
      </c>
    </row>
    <row r="25" spans="1:7" x14ac:dyDescent="0.2">
      <c r="A25" s="11" t="s">
        <v>23</v>
      </c>
      <c r="B25" s="82"/>
      <c r="C25" s="12">
        <f>September!C25+B25</f>
        <v>6803</v>
      </c>
      <c r="D25" s="84"/>
      <c r="E25" s="12">
        <f>September!E25+D25</f>
        <v>12667</v>
      </c>
      <c r="F25" s="61"/>
      <c r="G25" s="12">
        <f>September!G25+F25</f>
        <v>0</v>
      </c>
    </row>
    <row r="26" spans="1:7" x14ac:dyDescent="0.2">
      <c r="A26" s="11" t="s">
        <v>24</v>
      </c>
      <c r="B26" s="82"/>
      <c r="C26" s="12">
        <f>September!C26+B26</f>
        <v>1574817</v>
      </c>
      <c r="D26" s="84"/>
      <c r="E26" s="12">
        <f>September!E26+D26</f>
        <v>14744</v>
      </c>
      <c r="F26" s="61"/>
      <c r="G26" s="12">
        <f>September!G26+F26</f>
        <v>6588</v>
      </c>
    </row>
    <row r="27" spans="1:7" x14ac:dyDescent="0.2">
      <c r="A27" s="11" t="s">
        <v>25</v>
      </c>
      <c r="B27" s="82"/>
      <c r="C27" s="12">
        <f>September!C27+B27</f>
        <v>326976.46875</v>
      </c>
      <c r="D27" s="84"/>
      <c r="E27" s="12">
        <f>September!E27+D27</f>
        <v>7</v>
      </c>
      <c r="F27" s="61"/>
      <c r="G27" s="12">
        <f>September!G27+F27</f>
        <v>0</v>
      </c>
    </row>
    <row r="28" spans="1:7" x14ac:dyDescent="0.2">
      <c r="A28" s="11" t="s">
        <v>26</v>
      </c>
      <c r="B28" s="82"/>
      <c r="C28" s="12">
        <f>September!C28+B28</f>
        <v>2279953</v>
      </c>
      <c r="D28" s="84"/>
      <c r="E28" s="12">
        <f>September!E28+D28</f>
        <v>1149</v>
      </c>
      <c r="F28" s="61"/>
      <c r="G28" s="12">
        <f>September!G28+F28</f>
        <v>76</v>
      </c>
    </row>
    <row r="29" spans="1:7" x14ac:dyDescent="0.2">
      <c r="A29" s="11" t="s">
        <v>27</v>
      </c>
      <c r="B29" s="82"/>
      <c r="C29" s="12">
        <f>September!C29+B29</f>
        <v>57598</v>
      </c>
      <c r="D29" s="84"/>
      <c r="E29" s="12">
        <f>September!E29+D29</f>
        <v>0</v>
      </c>
      <c r="F29" s="61"/>
      <c r="G29" s="12">
        <f>September!G29+F29</f>
        <v>0</v>
      </c>
    </row>
    <row r="30" spans="1:7" x14ac:dyDescent="0.2">
      <c r="A30" s="11" t="s">
        <v>28</v>
      </c>
      <c r="B30" s="82"/>
      <c r="C30" s="12">
        <f>September!C30+B30</f>
        <v>1368678</v>
      </c>
      <c r="D30" s="84"/>
      <c r="E30" s="12">
        <f>September!E30+D30</f>
        <v>22147</v>
      </c>
      <c r="F30" s="61"/>
      <c r="G30" s="12">
        <f>September!G30+F30</f>
        <v>155</v>
      </c>
    </row>
    <row r="31" spans="1:7" x14ac:dyDescent="0.2">
      <c r="A31" s="11" t="s">
        <v>29</v>
      </c>
      <c r="B31" s="82"/>
      <c r="C31" s="12">
        <f>September!C31+B31</f>
        <v>0</v>
      </c>
      <c r="D31" s="84"/>
      <c r="E31" s="12">
        <f>September!E31+D31</f>
        <v>1</v>
      </c>
      <c r="F31" s="61"/>
      <c r="G31" s="12">
        <f>September!G31+F31</f>
        <v>0</v>
      </c>
    </row>
    <row r="32" spans="1:7" x14ac:dyDescent="0.2">
      <c r="A32" s="11" t="s">
        <v>30</v>
      </c>
      <c r="B32" s="82"/>
      <c r="C32" s="12">
        <f>September!C32+B32</f>
        <v>0</v>
      </c>
      <c r="D32" s="84"/>
      <c r="E32" s="12">
        <f>September!E32+D32</f>
        <v>0</v>
      </c>
      <c r="F32" s="61"/>
      <c r="G32" s="12">
        <f>September!G32+F32</f>
        <v>0</v>
      </c>
    </row>
    <row r="33" spans="1:7" x14ac:dyDescent="0.2">
      <c r="A33" s="11" t="s">
        <v>31</v>
      </c>
      <c r="B33" s="82"/>
      <c r="C33" s="12">
        <f>September!C33+B33</f>
        <v>0</v>
      </c>
      <c r="D33" s="84"/>
      <c r="E33" s="12">
        <f>September!E33+D33</f>
        <v>0</v>
      </c>
      <c r="F33" s="61"/>
      <c r="G33" s="12">
        <f>September!G33+F33</f>
        <v>0</v>
      </c>
    </row>
    <row r="34" spans="1:7" x14ac:dyDescent="0.2">
      <c r="A34" s="11" t="s">
        <v>32</v>
      </c>
      <c r="B34" s="82"/>
      <c r="C34" s="12">
        <f>September!C34+B34</f>
        <v>0</v>
      </c>
      <c r="D34" s="84"/>
      <c r="E34" s="12">
        <f>September!E34+D34</f>
        <v>0</v>
      </c>
      <c r="F34" s="61"/>
      <c r="G34" s="12">
        <f>September!G34+F34</f>
        <v>0</v>
      </c>
    </row>
    <row r="35" spans="1:7" x14ac:dyDescent="0.2">
      <c r="A35" s="11" t="s">
        <v>33</v>
      </c>
      <c r="B35" s="82"/>
      <c r="C35" s="12">
        <f>September!C35+B35</f>
        <v>0</v>
      </c>
      <c r="D35" s="84"/>
      <c r="E35" s="12">
        <f>September!E35+D35</f>
        <v>1</v>
      </c>
      <c r="F35" s="61"/>
      <c r="G35" s="12">
        <f>September!G35+F35</f>
        <v>0</v>
      </c>
    </row>
    <row r="36" spans="1:7" x14ac:dyDescent="0.2">
      <c r="A36" s="11" t="s">
        <v>34</v>
      </c>
      <c r="B36" s="82"/>
      <c r="C36" s="12">
        <f>September!C36+B36</f>
        <v>1082807</v>
      </c>
      <c r="D36" s="84"/>
      <c r="E36" s="12">
        <f>September!E36+D36</f>
        <v>1</v>
      </c>
      <c r="F36" s="61"/>
      <c r="G36" s="12">
        <f>September!G36+F36</f>
        <v>0</v>
      </c>
    </row>
    <row r="37" spans="1:7" x14ac:dyDescent="0.2">
      <c r="A37" s="11" t="s">
        <v>35</v>
      </c>
      <c r="B37" s="82"/>
      <c r="C37" s="12">
        <f>September!C37+B37</f>
        <v>263480</v>
      </c>
      <c r="D37" s="84"/>
      <c r="E37" s="12">
        <f>September!E37+D37</f>
        <v>5182</v>
      </c>
      <c r="F37" s="61"/>
      <c r="G37" s="12">
        <f>September!G37+F37</f>
        <v>0</v>
      </c>
    </row>
    <row r="38" spans="1:7" x14ac:dyDescent="0.2">
      <c r="A38" s="11" t="s">
        <v>36</v>
      </c>
      <c r="B38" s="82"/>
      <c r="C38" s="12">
        <f>September!C38+B38</f>
        <v>105155</v>
      </c>
      <c r="D38" s="84"/>
      <c r="E38" s="12">
        <f>September!E38+D38</f>
        <v>8182</v>
      </c>
      <c r="F38" s="61"/>
      <c r="G38" s="12">
        <f>September!G38+F38</f>
        <v>0</v>
      </c>
    </row>
    <row r="39" spans="1:7" x14ac:dyDescent="0.2">
      <c r="A39" s="11" t="s">
        <v>37</v>
      </c>
      <c r="B39" s="82"/>
      <c r="C39" s="12">
        <f>September!C39+B39</f>
        <v>1920324</v>
      </c>
      <c r="D39" s="84"/>
      <c r="E39" s="12">
        <f>September!E39+D39</f>
        <v>263</v>
      </c>
      <c r="F39" s="61"/>
      <c r="G39" s="12">
        <f>September!G39+F39</f>
        <v>0</v>
      </c>
    </row>
    <row r="40" spans="1:7" x14ac:dyDescent="0.2">
      <c r="A40" s="11" t="s">
        <v>38</v>
      </c>
      <c r="B40" s="82"/>
      <c r="C40" s="12">
        <f>September!C40+B40</f>
        <v>0</v>
      </c>
      <c r="D40" s="84"/>
      <c r="E40" s="12">
        <f>September!E40+D40</f>
        <v>0</v>
      </c>
      <c r="F40" s="61"/>
      <c r="G40" s="12">
        <f>September!G40+F40</f>
        <v>0</v>
      </c>
    </row>
    <row r="41" spans="1:7" x14ac:dyDescent="0.2">
      <c r="A41" s="11" t="s">
        <v>39</v>
      </c>
      <c r="B41" s="82"/>
      <c r="C41" s="12">
        <f>September!C41+B41</f>
        <v>9661</v>
      </c>
      <c r="D41" s="84"/>
      <c r="E41" s="12">
        <f>September!E41+D41</f>
        <v>4529</v>
      </c>
      <c r="F41" s="61"/>
      <c r="G41" s="12">
        <f>September!G41+F41</f>
        <v>0</v>
      </c>
    </row>
    <row r="42" spans="1:7" x14ac:dyDescent="0.2">
      <c r="A42" s="11" t="s">
        <v>40</v>
      </c>
      <c r="B42" s="82"/>
      <c r="C42" s="12">
        <f>September!C42+B42</f>
        <v>0</v>
      </c>
      <c r="D42" s="84"/>
      <c r="E42" s="12">
        <f>September!E42+D42</f>
        <v>0</v>
      </c>
      <c r="F42" s="61"/>
      <c r="G42" s="12">
        <f>September!G42+F42</f>
        <v>0</v>
      </c>
    </row>
    <row r="43" spans="1:7" x14ac:dyDescent="0.2">
      <c r="A43" s="11" t="s">
        <v>41</v>
      </c>
      <c r="B43" s="82"/>
      <c r="C43" s="12">
        <f>September!C43+B43</f>
        <v>0</v>
      </c>
      <c r="D43" s="84"/>
      <c r="E43" s="12">
        <f>September!E43+D43</f>
        <v>0</v>
      </c>
      <c r="F43" s="61"/>
      <c r="G43" s="12">
        <f>September!G43+F43</f>
        <v>0</v>
      </c>
    </row>
    <row r="44" spans="1:7" x14ac:dyDescent="0.2">
      <c r="A44" s="11" t="s">
        <v>42</v>
      </c>
      <c r="B44" s="82"/>
      <c r="C44" s="12">
        <f>September!C44+B44</f>
        <v>360759</v>
      </c>
      <c r="D44" s="84"/>
      <c r="E44" s="12">
        <f>September!E44+D44</f>
        <v>9357</v>
      </c>
      <c r="F44" s="61"/>
      <c r="G44" s="12">
        <f>September!G44+F44</f>
        <v>0</v>
      </c>
    </row>
    <row r="45" spans="1:7" x14ac:dyDescent="0.2">
      <c r="A45" s="11" t="s">
        <v>43</v>
      </c>
      <c r="B45" s="82"/>
      <c r="C45" s="12">
        <f>September!C45+B45</f>
        <v>403</v>
      </c>
      <c r="D45" s="84"/>
      <c r="E45" s="12">
        <f>September!E45+D45</f>
        <v>113</v>
      </c>
      <c r="F45" s="61"/>
      <c r="G45" s="12">
        <f>September!G45+F45</f>
        <v>0</v>
      </c>
    </row>
    <row r="46" spans="1:7" x14ac:dyDescent="0.2">
      <c r="A46" s="11" t="s">
        <v>44</v>
      </c>
      <c r="B46" s="82"/>
      <c r="C46" s="12">
        <f>September!C46+B46</f>
        <v>439146</v>
      </c>
      <c r="D46" s="84"/>
      <c r="E46" s="12">
        <f>September!E46+D46</f>
        <v>292</v>
      </c>
      <c r="F46" s="61"/>
      <c r="G46" s="12">
        <f>September!G46+F46</f>
        <v>0</v>
      </c>
    </row>
    <row r="47" spans="1:7" x14ac:dyDescent="0.2">
      <c r="A47" s="11" t="s">
        <v>45</v>
      </c>
      <c r="B47" s="82"/>
      <c r="C47" s="12">
        <f>September!C47+B47</f>
        <v>289670</v>
      </c>
      <c r="D47" s="84"/>
      <c r="E47" s="12">
        <f>September!E47+D47</f>
        <v>0</v>
      </c>
      <c r="F47" s="61"/>
      <c r="G47" s="12">
        <f>September!G47+F47</f>
        <v>101</v>
      </c>
    </row>
    <row r="48" spans="1:7" x14ac:dyDescent="0.2">
      <c r="A48" s="11" t="s">
        <v>46</v>
      </c>
      <c r="B48" s="82"/>
      <c r="C48" s="12">
        <f>September!C48+B48</f>
        <v>0</v>
      </c>
      <c r="D48" s="84"/>
      <c r="E48" s="12">
        <f>September!E48+D48</f>
        <v>0</v>
      </c>
      <c r="F48" s="61"/>
      <c r="G48" s="12">
        <f>September!G48+F48</f>
        <v>0</v>
      </c>
    </row>
    <row r="49" spans="1:256" x14ac:dyDescent="0.2">
      <c r="A49" s="11" t="s">
        <v>47</v>
      </c>
      <c r="B49" s="82"/>
      <c r="C49" s="12">
        <f>September!C49+B49</f>
        <v>0</v>
      </c>
      <c r="D49" s="84"/>
      <c r="E49" s="12">
        <f>September!E49+D49</f>
        <v>2</v>
      </c>
      <c r="F49" s="61"/>
      <c r="G49" s="12">
        <f>September!G49+F49</f>
        <v>0</v>
      </c>
    </row>
    <row r="50" spans="1:256" x14ac:dyDescent="0.2">
      <c r="A50" s="11" t="s">
        <v>48</v>
      </c>
      <c r="B50" s="82"/>
      <c r="C50" s="12">
        <f>September!C50+B50</f>
        <v>0</v>
      </c>
      <c r="D50" s="84"/>
      <c r="E50" s="12">
        <f>September!E50+D50</f>
        <v>0</v>
      </c>
      <c r="F50" s="61"/>
      <c r="G50" s="12">
        <f>September!G50+F50</f>
        <v>0</v>
      </c>
    </row>
    <row r="51" spans="1:256" x14ac:dyDescent="0.2">
      <c r="A51" s="11" t="s">
        <v>49</v>
      </c>
      <c r="B51" s="82"/>
      <c r="C51" s="12">
        <f>September!C51+B51</f>
        <v>0</v>
      </c>
      <c r="D51" s="84"/>
      <c r="E51" s="12">
        <f>September!E51+D51</f>
        <v>0</v>
      </c>
      <c r="F51" s="61"/>
      <c r="G51" s="12">
        <f>September!G51+F51</f>
        <v>0</v>
      </c>
    </row>
    <row r="52" spans="1:256" x14ac:dyDescent="0.2">
      <c r="A52" s="11" t="s">
        <v>50</v>
      </c>
      <c r="B52" s="82"/>
      <c r="C52" s="12">
        <f>September!C52+B52</f>
        <v>124872</v>
      </c>
      <c r="D52" s="84"/>
      <c r="E52" s="12">
        <f>September!E52+D52</f>
        <v>2752</v>
      </c>
      <c r="F52" s="61"/>
      <c r="G52" s="12">
        <f>September!G52+F52</f>
        <v>0</v>
      </c>
    </row>
    <row r="53" spans="1:256" x14ac:dyDescent="0.2">
      <c r="A53" s="11" t="s">
        <v>51</v>
      </c>
      <c r="B53" s="82"/>
      <c r="C53" s="12">
        <f>September!C53+B53</f>
        <v>231531</v>
      </c>
      <c r="D53" s="84"/>
      <c r="E53" s="12">
        <f>September!E53+D53</f>
        <v>323</v>
      </c>
      <c r="F53" s="61"/>
      <c r="G53" s="12">
        <f>September!G53+F53</f>
        <v>0</v>
      </c>
    </row>
    <row r="54" spans="1:256" ht="15.75" thickBot="1" x14ac:dyDescent="0.25">
      <c r="A54" s="13" t="s">
        <v>52</v>
      </c>
      <c r="B54" s="82"/>
      <c r="C54" s="12">
        <f>September!C54+B54</f>
        <v>2147255</v>
      </c>
      <c r="D54" s="84"/>
      <c r="E54" s="12">
        <f>September!E54+D54</f>
        <v>6020</v>
      </c>
      <c r="F54" s="61"/>
      <c r="G54" s="12">
        <f>September!G54+F54</f>
        <v>99054</v>
      </c>
    </row>
    <row r="55" spans="1:256" ht="26.1" customHeight="1" thickTop="1" thickBot="1" x14ac:dyDescent="0.25">
      <c r="A55" s="14" t="s">
        <v>53</v>
      </c>
      <c r="B55" s="15">
        <f>SUM(B7:B54)</f>
        <v>0</v>
      </c>
      <c r="C55" s="15">
        <f>September!C55+B55</f>
        <v>16939039.46875</v>
      </c>
      <c r="D55" s="15">
        <f>SUM(D7:D54)</f>
        <v>0</v>
      </c>
      <c r="E55" s="15">
        <f>September!E55+D55</f>
        <v>108212</v>
      </c>
      <c r="F55" s="15">
        <f>SUM(F7:F54)</f>
        <v>0</v>
      </c>
      <c r="G55" s="15">
        <f>September!G55+F55</f>
        <v>105974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/>
      <c r="D58" s="24">
        <f>September!D58+C58</f>
        <v>200</v>
      </c>
      <c r="E58" s="18"/>
    </row>
    <row r="59" spans="1:256" x14ac:dyDescent="0.2">
      <c r="A59" s="1" t="s">
        <v>56</v>
      </c>
      <c r="B59" s="23"/>
      <c r="C59" s="23"/>
      <c r="D59" s="24">
        <f>September!D59+C59</f>
        <v>16600</v>
      </c>
    </row>
    <row r="60" spans="1:256" x14ac:dyDescent="0.2">
      <c r="A60" s="1" t="s">
        <v>57</v>
      </c>
      <c r="B60" s="23"/>
      <c r="C60" s="23"/>
      <c r="D60" s="24">
        <f>September!D60+C60</f>
        <v>300</v>
      </c>
    </row>
    <row r="61" spans="1:256" x14ac:dyDescent="0.2">
      <c r="A61" s="1" t="s">
        <v>58</v>
      </c>
      <c r="B61" s="23"/>
      <c r="C61" s="23"/>
      <c r="D61" s="24">
        <f>September!D61+C61</f>
        <v>0</v>
      </c>
    </row>
    <row r="62" spans="1:256" x14ac:dyDescent="0.2">
      <c r="A62" s="1" t="s">
        <v>59</v>
      </c>
      <c r="B62" s="23"/>
      <c r="C62" s="23"/>
      <c r="D62" s="24">
        <f>September!D62+C62</f>
        <v>243800</v>
      </c>
    </row>
    <row r="63" spans="1:256" x14ac:dyDescent="0.2">
      <c r="A63" s="1" t="s">
        <v>65</v>
      </c>
      <c r="B63" s="23"/>
      <c r="C63" s="23"/>
      <c r="D63" s="24">
        <f>September!D63+C63</f>
        <v>83601</v>
      </c>
    </row>
    <row r="64" spans="1:256" x14ac:dyDescent="0.2">
      <c r="A64" s="1" t="s">
        <v>63</v>
      </c>
      <c r="B64" s="23"/>
      <c r="C64" s="23"/>
      <c r="D64" s="24">
        <f>September!D64+C64</f>
        <v>117816</v>
      </c>
    </row>
    <row r="65" spans="1:4" x14ac:dyDescent="0.2">
      <c r="A65" s="1" t="s">
        <v>60</v>
      </c>
      <c r="C65" s="23"/>
      <c r="D65" s="24">
        <f>September!D65+C65</f>
        <v>0</v>
      </c>
    </row>
    <row r="66" spans="1:4" x14ac:dyDescent="0.2">
      <c r="A66" s="1" t="s">
        <v>61</v>
      </c>
      <c r="C66" s="23"/>
      <c r="D66" s="24">
        <f>September!D66+C66</f>
        <v>42766</v>
      </c>
    </row>
    <row r="67" spans="1:4" x14ac:dyDescent="0.2">
      <c r="A67" s="1" t="s">
        <v>62</v>
      </c>
      <c r="C67" s="23"/>
      <c r="D67" s="24">
        <f>September!D67+C67</f>
        <v>7650</v>
      </c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80" zoomScaleNormal="80" workbookViewId="0">
      <pane ySplit="6" topLeftCell="A22" activePane="bottomLeft" state="frozen"/>
      <selection pane="bottomLeft" activeCell="G62" sqref="G62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3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75</v>
      </c>
      <c r="I2" s="2"/>
    </row>
    <row r="3" spans="1:256" ht="12.95" customHeight="1" x14ac:dyDescent="0.25">
      <c r="F3" t="s">
        <v>77</v>
      </c>
      <c r="I3" s="2"/>
    </row>
    <row r="4" spans="1:256" ht="12.95" customHeight="1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2"/>
      <c r="C7" s="12">
        <f>October!C7+B7</f>
        <v>71629</v>
      </c>
      <c r="D7" s="84"/>
      <c r="E7" s="12">
        <f>October!E7+D7</f>
        <v>0</v>
      </c>
      <c r="F7" s="12"/>
      <c r="G7" s="12">
        <f>October!G7+F7</f>
        <v>0</v>
      </c>
    </row>
    <row r="8" spans="1:256" x14ac:dyDescent="0.2">
      <c r="A8" s="11" t="s">
        <v>64</v>
      </c>
      <c r="B8" s="82"/>
      <c r="C8" s="12">
        <f>October!C8+B8</f>
        <v>1</v>
      </c>
      <c r="D8" s="84"/>
      <c r="E8" s="12">
        <f>October!E8+D8</f>
        <v>19</v>
      </c>
      <c r="F8" s="12"/>
      <c r="G8" s="12">
        <f>October!G8+F8</f>
        <v>0</v>
      </c>
    </row>
    <row r="9" spans="1:256" x14ac:dyDescent="0.2">
      <c r="A9" s="11" t="s">
        <v>7</v>
      </c>
      <c r="B9" s="82"/>
      <c r="C9" s="12">
        <f>October!C9+B9</f>
        <v>221430</v>
      </c>
      <c r="D9" s="84"/>
      <c r="E9" s="12">
        <f>October!E9+D9</f>
        <v>40</v>
      </c>
      <c r="F9" s="12"/>
      <c r="G9" s="12">
        <f>October!G9+F9</f>
        <v>0</v>
      </c>
    </row>
    <row r="10" spans="1:256" x14ac:dyDescent="0.2">
      <c r="A10" s="11" t="s">
        <v>8</v>
      </c>
      <c r="B10" s="82"/>
      <c r="C10" s="12">
        <f>October!C10+B10</f>
        <v>0</v>
      </c>
      <c r="D10" s="84"/>
      <c r="E10" s="12">
        <f>October!E10+D10</f>
        <v>47</v>
      </c>
      <c r="F10" s="12"/>
      <c r="G10" s="12">
        <f>October!G10+F10</f>
        <v>0</v>
      </c>
    </row>
    <row r="11" spans="1:256" x14ac:dyDescent="0.2">
      <c r="A11" s="11" t="s">
        <v>9</v>
      </c>
      <c r="B11" s="82"/>
      <c r="C11" s="12">
        <f>October!C11+B11</f>
        <v>937525</v>
      </c>
      <c r="D11" s="84"/>
      <c r="E11" s="12">
        <f>October!E11+D11</f>
        <v>364</v>
      </c>
      <c r="F11" s="12"/>
      <c r="G11" s="12">
        <f>October!G11+F11</f>
        <v>0</v>
      </c>
    </row>
    <row r="12" spans="1:256" x14ac:dyDescent="0.2">
      <c r="A12" s="11" t="s">
        <v>10</v>
      </c>
      <c r="B12" s="82"/>
      <c r="C12" s="12">
        <f>October!C12+B12</f>
        <v>0</v>
      </c>
      <c r="D12" s="84"/>
      <c r="E12" s="12">
        <f>October!E12+D12</f>
        <v>0</v>
      </c>
      <c r="F12" s="12"/>
      <c r="G12" s="12">
        <f>October!G12+F12</f>
        <v>0</v>
      </c>
    </row>
    <row r="13" spans="1:256" x14ac:dyDescent="0.2">
      <c r="A13" s="11" t="s">
        <v>11</v>
      </c>
      <c r="B13" s="82"/>
      <c r="C13" s="12">
        <f>October!C13+B13</f>
        <v>0</v>
      </c>
      <c r="D13" s="84"/>
      <c r="E13" s="12">
        <f>October!E13+D13</f>
        <v>0</v>
      </c>
      <c r="F13" s="12"/>
      <c r="G13" s="12">
        <f>October!G13+F13</f>
        <v>0</v>
      </c>
    </row>
    <row r="14" spans="1:256" x14ac:dyDescent="0.2">
      <c r="A14" s="11" t="s">
        <v>12</v>
      </c>
      <c r="B14" s="82"/>
      <c r="C14" s="12">
        <f>October!C14+B14</f>
        <v>0</v>
      </c>
      <c r="D14" s="84"/>
      <c r="E14" s="12">
        <f>October!E14+D14</f>
        <v>0</v>
      </c>
      <c r="F14" s="12"/>
      <c r="G14" s="12">
        <f>October!G14+F14</f>
        <v>0</v>
      </c>
    </row>
    <row r="15" spans="1:256" x14ac:dyDescent="0.2">
      <c r="A15" s="11" t="s">
        <v>13</v>
      </c>
      <c r="B15" s="82"/>
      <c r="C15" s="12">
        <f>October!C15+B15</f>
        <v>38522</v>
      </c>
      <c r="D15" s="84"/>
      <c r="E15" s="12">
        <f>October!E15+D15</f>
        <v>1</v>
      </c>
      <c r="F15" s="12"/>
      <c r="G15" s="12">
        <f>October!G15+F15</f>
        <v>0</v>
      </c>
    </row>
    <row r="16" spans="1:256" x14ac:dyDescent="0.2">
      <c r="A16" s="11" t="s">
        <v>14</v>
      </c>
      <c r="B16" s="82"/>
      <c r="C16" s="12">
        <f>October!C16+B16</f>
        <v>0</v>
      </c>
      <c r="D16" s="84"/>
      <c r="E16" s="12">
        <f>October!E16+D16</f>
        <v>2</v>
      </c>
      <c r="F16" s="12"/>
      <c r="G16" s="12">
        <f>October!G16+F16</f>
        <v>0</v>
      </c>
    </row>
    <row r="17" spans="1:7" x14ac:dyDescent="0.2">
      <c r="A17" s="11" t="s">
        <v>15</v>
      </c>
      <c r="B17" s="82"/>
      <c r="C17" s="12">
        <f>October!C17+B17</f>
        <v>2816751</v>
      </c>
      <c r="D17" s="84"/>
      <c r="E17" s="12">
        <f>October!E17+D17</f>
        <v>14469</v>
      </c>
      <c r="F17" s="12"/>
      <c r="G17" s="12">
        <f>October!G17+F17</f>
        <v>0</v>
      </c>
    </row>
    <row r="18" spans="1:7" x14ac:dyDescent="0.2">
      <c r="A18" s="11" t="s">
        <v>16</v>
      </c>
      <c r="B18" s="82"/>
      <c r="C18" s="12">
        <f>October!C18+B18</f>
        <v>109472</v>
      </c>
      <c r="D18" s="84"/>
      <c r="E18" s="12">
        <f>October!E18+D18</f>
        <v>1504</v>
      </c>
      <c r="F18" s="12"/>
      <c r="G18" s="12">
        <f>October!G18+F18</f>
        <v>0</v>
      </c>
    </row>
    <row r="19" spans="1:7" x14ac:dyDescent="0.2">
      <c r="A19" s="11" t="s">
        <v>17</v>
      </c>
      <c r="B19" s="82"/>
      <c r="C19" s="12">
        <f>October!C19+B19</f>
        <v>153763</v>
      </c>
      <c r="D19" s="84"/>
      <c r="E19" s="12">
        <f>October!E19+D19</f>
        <v>3146</v>
      </c>
      <c r="F19" s="12"/>
      <c r="G19" s="12">
        <f>October!G19+F19</f>
        <v>0</v>
      </c>
    </row>
    <row r="20" spans="1:7" x14ac:dyDescent="0.2">
      <c r="A20" s="11" t="s">
        <v>18</v>
      </c>
      <c r="B20" s="82"/>
      <c r="C20" s="12">
        <f>October!C20+B20</f>
        <v>58</v>
      </c>
      <c r="D20" s="84"/>
      <c r="E20" s="12">
        <f>October!E20+D20</f>
        <v>887</v>
      </c>
      <c r="F20" s="12"/>
      <c r="G20" s="12">
        <f>October!G20+F20</f>
        <v>0</v>
      </c>
    </row>
    <row r="21" spans="1:7" x14ac:dyDescent="0.2">
      <c r="A21" s="11" t="s">
        <v>19</v>
      </c>
      <c r="B21" s="82"/>
      <c r="C21" s="12">
        <f>October!C21+B21</f>
        <v>0</v>
      </c>
      <c r="D21" s="84"/>
      <c r="E21" s="12">
        <f>October!E21+D21</f>
        <v>0</v>
      </c>
      <c r="F21" s="12"/>
      <c r="G21" s="12">
        <f>October!G21+F21</f>
        <v>0</v>
      </c>
    </row>
    <row r="22" spans="1:7" x14ac:dyDescent="0.2">
      <c r="A22" s="11" t="s">
        <v>20</v>
      </c>
      <c r="B22" s="82"/>
      <c r="C22" s="12">
        <f>October!C22+B22</f>
        <v>0</v>
      </c>
      <c r="D22" s="84"/>
      <c r="E22" s="12">
        <f>October!E22+D22</f>
        <v>0</v>
      </c>
      <c r="F22" s="12"/>
      <c r="G22" s="12">
        <f>October!G22+F22</f>
        <v>0</v>
      </c>
    </row>
    <row r="23" spans="1:7" x14ac:dyDescent="0.2">
      <c r="A23" s="11" t="s">
        <v>21</v>
      </c>
      <c r="B23" s="82"/>
      <c r="C23" s="12">
        <f>October!C23+B23</f>
        <v>0</v>
      </c>
      <c r="D23" s="84"/>
      <c r="E23" s="12">
        <f>October!E23+D23</f>
        <v>1</v>
      </c>
      <c r="F23" s="12"/>
      <c r="G23" s="12">
        <f>October!G23+F23</f>
        <v>0</v>
      </c>
    </row>
    <row r="24" spans="1:7" x14ac:dyDescent="0.2">
      <c r="A24" s="11" t="s">
        <v>22</v>
      </c>
      <c r="B24" s="82"/>
      <c r="C24" s="12">
        <f>October!C24+B24</f>
        <v>0</v>
      </c>
      <c r="D24" s="84"/>
      <c r="E24" s="12">
        <f>October!E24+D24</f>
        <v>0</v>
      </c>
      <c r="F24" s="12"/>
      <c r="G24" s="12">
        <f>October!G24+F24</f>
        <v>0</v>
      </c>
    </row>
    <row r="25" spans="1:7" x14ac:dyDescent="0.2">
      <c r="A25" s="11" t="s">
        <v>23</v>
      </c>
      <c r="B25" s="82"/>
      <c r="C25" s="12">
        <f>October!C25+B25</f>
        <v>6803</v>
      </c>
      <c r="D25" s="84"/>
      <c r="E25" s="12">
        <f>October!E25+D25</f>
        <v>12667</v>
      </c>
      <c r="F25" s="12"/>
      <c r="G25" s="12">
        <f>October!G25+F25</f>
        <v>0</v>
      </c>
    </row>
    <row r="26" spans="1:7" x14ac:dyDescent="0.2">
      <c r="A26" s="11" t="s">
        <v>24</v>
      </c>
      <c r="B26" s="82"/>
      <c r="C26" s="12">
        <f>October!C26+B26</f>
        <v>1574817</v>
      </c>
      <c r="D26" s="84"/>
      <c r="E26" s="12">
        <f>October!E26+D26</f>
        <v>14744</v>
      </c>
      <c r="F26" s="12"/>
      <c r="G26" s="12">
        <f>October!G26+F26</f>
        <v>6588</v>
      </c>
    </row>
    <row r="27" spans="1:7" x14ac:dyDescent="0.2">
      <c r="A27" s="11" t="s">
        <v>25</v>
      </c>
      <c r="B27" s="82"/>
      <c r="C27" s="12">
        <f>October!C27+B27</f>
        <v>326976.46875</v>
      </c>
      <c r="D27" s="84"/>
      <c r="E27" s="12">
        <f>October!E27+D27</f>
        <v>7</v>
      </c>
      <c r="F27" s="12"/>
      <c r="G27" s="12">
        <f>October!G27+F27</f>
        <v>0</v>
      </c>
    </row>
    <row r="28" spans="1:7" x14ac:dyDescent="0.2">
      <c r="A28" s="11" t="s">
        <v>26</v>
      </c>
      <c r="B28" s="82"/>
      <c r="C28" s="12">
        <f>October!C28+B28</f>
        <v>2279953</v>
      </c>
      <c r="D28" s="84"/>
      <c r="E28" s="12">
        <f>October!E28+D28</f>
        <v>1149</v>
      </c>
      <c r="F28" s="12"/>
      <c r="G28" s="12">
        <f>October!G28+F28</f>
        <v>76</v>
      </c>
    </row>
    <row r="29" spans="1:7" x14ac:dyDescent="0.2">
      <c r="A29" s="11" t="s">
        <v>27</v>
      </c>
      <c r="B29" s="82"/>
      <c r="C29" s="12">
        <f>October!C29+B29</f>
        <v>57598</v>
      </c>
      <c r="D29" s="84"/>
      <c r="E29" s="12">
        <f>October!E29+D29</f>
        <v>0</v>
      </c>
      <c r="F29" s="12"/>
      <c r="G29" s="12">
        <f>October!G29+F29</f>
        <v>0</v>
      </c>
    </row>
    <row r="30" spans="1:7" x14ac:dyDescent="0.2">
      <c r="A30" s="11" t="s">
        <v>28</v>
      </c>
      <c r="B30" s="82"/>
      <c r="C30" s="12">
        <f>October!C30+B30</f>
        <v>1368678</v>
      </c>
      <c r="D30" s="84"/>
      <c r="E30" s="12">
        <f>October!E30+D30</f>
        <v>22147</v>
      </c>
      <c r="F30" s="12"/>
      <c r="G30" s="12">
        <f>October!G30+F30</f>
        <v>155</v>
      </c>
    </row>
    <row r="31" spans="1:7" x14ac:dyDescent="0.2">
      <c r="A31" s="11" t="s">
        <v>29</v>
      </c>
      <c r="B31" s="82"/>
      <c r="C31" s="12">
        <f>October!C31+B31</f>
        <v>0</v>
      </c>
      <c r="D31" s="84"/>
      <c r="E31" s="12">
        <f>October!E31+D31</f>
        <v>1</v>
      </c>
      <c r="F31" s="12"/>
      <c r="G31" s="12">
        <f>October!G31+F31</f>
        <v>0</v>
      </c>
    </row>
    <row r="32" spans="1:7" x14ac:dyDescent="0.2">
      <c r="A32" s="11" t="s">
        <v>30</v>
      </c>
      <c r="B32" s="82"/>
      <c r="C32" s="12">
        <f>October!C32+B32</f>
        <v>0</v>
      </c>
      <c r="D32" s="84"/>
      <c r="E32" s="12">
        <f>October!E32+D32</f>
        <v>0</v>
      </c>
      <c r="F32" s="12"/>
      <c r="G32" s="12">
        <f>October!G32+F32</f>
        <v>0</v>
      </c>
    </row>
    <row r="33" spans="1:7" x14ac:dyDescent="0.2">
      <c r="A33" s="11" t="s">
        <v>31</v>
      </c>
      <c r="B33" s="82"/>
      <c r="C33" s="12">
        <f>October!C33+B33</f>
        <v>0</v>
      </c>
      <c r="D33" s="84"/>
      <c r="E33" s="12">
        <f>October!E33+D33</f>
        <v>0</v>
      </c>
      <c r="F33" s="12"/>
      <c r="G33" s="12">
        <f>October!G33+F33</f>
        <v>0</v>
      </c>
    </row>
    <row r="34" spans="1:7" x14ac:dyDescent="0.2">
      <c r="A34" s="11" t="s">
        <v>32</v>
      </c>
      <c r="B34" s="82"/>
      <c r="C34" s="12">
        <f>October!C34+B34</f>
        <v>0</v>
      </c>
      <c r="D34" s="84"/>
      <c r="E34" s="12">
        <f>October!E34+D34</f>
        <v>0</v>
      </c>
      <c r="F34" s="12"/>
      <c r="G34" s="12">
        <f>October!G34+F34</f>
        <v>0</v>
      </c>
    </row>
    <row r="35" spans="1:7" x14ac:dyDescent="0.2">
      <c r="A35" s="11" t="s">
        <v>33</v>
      </c>
      <c r="B35" s="82"/>
      <c r="C35" s="12">
        <f>October!C35+B35</f>
        <v>0</v>
      </c>
      <c r="D35" s="84"/>
      <c r="E35" s="12">
        <f>October!E35+D35</f>
        <v>1</v>
      </c>
      <c r="F35" s="12"/>
      <c r="G35" s="12">
        <f>October!G35+F35</f>
        <v>0</v>
      </c>
    </row>
    <row r="36" spans="1:7" x14ac:dyDescent="0.2">
      <c r="A36" s="11" t="s">
        <v>34</v>
      </c>
      <c r="B36" s="82"/>
      <c r="C36" s="12">
        <f>October!C36+B36</f>
        <v>1082807</v>
      </c>
      <c r="D36" s="84"/>
      <c r="E36" s="12">
        <f>October!E36+D36</f>
        <v>1</v>
      </c>
      <c r="F36" s="12"/>
      <c r="G36" s="12">
        <f>October!G36+F36</f>
        <v>0</v>
      </c>
    </row>
    <row r="37" spans="1:7" x14ac:dyDescent="0.2">
      <c r="A37" s="11" t="s">
        <v>35</v>
      </c>
      <c r="B37" s="82"/>
      <c r="C37" s="12">
        <f>October!C37+B37</f>
        <v>263480</v>
      </c>
      <c r="D37" s="84"/>
      <c r="E37" s="12">
        <f>October!E37+D37</f>
        <v>5182</v>
      </c>
      <c r="F37" s="12"/>
      <c r="G37" s="12">
        <f>October!G37+F37</f>
        <v>0</v>
      </c>
    </row>
    <row r="38" spans="1:7" x14ac:dyDescent="0.2">
      <c r="A38" s="11" t="s">
        <v>36</v>
      </c>
      <c r="B38" s="82"/>
      <c r="C38" s="12">
        <f>October!C38+B38</f>
        <v>105155</v>
      </c>
      <c r="D38" s="84"/>
      <c r="E38" s="12">
        <f>October!E38+D38</f>
        <v>8182</v>
      </c>
      <c r="F38" s="12"/>
      <c r="G38" s="12">
        <f>October!G38+F38</f>
        <v>0</v>
      </c>
    </row>
    <row r="39" spans="1:7" x14ac:dyDescent="0.2">
      <c r="A39" s="11" t="s">
        <v>37</v>
      </c>
      <c r="B39" s="82"/>
      <c r="C39" s="12">
        <f>October!C39+B39</f>
        <v>1920324</v>
      </c>
      <c r="D39" s="84"/>
      <c r="E39" s="12">
        <f>October!E39+D39</f>
        <v>263</v>
      </c>
      <c r="F39" s="12"/>
      <c r="G39" s="12">
        <f>October!G39+F39</f>
        <v>0</v>
      </c>
    </row>
    <row r="40" spans="1:7" x14ac:dyDescent="0.2">
      <c r="A40" s="11" t="s">
        <v>38</v>
      </c>
      <c r="B40" s="82"/>
      <c r="C40" s="12">
        <f>October!C40+B40</f>
        <v>0</v>
      </c>
      <c r="D40" s="84"/>
      <c r="E40" s="12">
        <f>October!E40+D40</f>
        <v>0</v>
      </c>
      <c r="F40" s="12"/>
      <c r="G40" s="12">
        <f>October!G40+F40</f>
        <v>0</v>
      </c>
    </row>
    <row r="41" spans="1:7" x14ac:dyDescent="0.2">
      <c r="A41" s="11" t="s">
        <v>39</v>
      </c>
      <c r="B41" s="82"/>
      <c r="C41" s="12">
        <f>October!C41+B41</f>
        <v>9661</v>
      </c>
      <c r="D41" s="84"/>
      <c r="E41" s="12">
        <f>October!E41+D41</f>
        <v>4529</v>
      </c>
      <c r="F41" s="12"/>
      <c r="G41" s="12">
        <f>October!G41+F41</f>
        <v>0</v>
      </c>
    </row>
    <row r="42" spans="1:7" x14ac:dyDescent="0.2">
      <c r="A42" s="11" t="s">
        <v>40</v>
      </c>
      <c r="B42" s="82"/>
      <c r="C42" s="12">
        <f>October!C42+B42</f>
        <v>0</v>
      </c>
      <c r="D42" s="84"/>
      <c r="E42" s="12">
        <f>October!E42+D42</f>
        <v>0</v>
      </c>
      <c r="F42" s="12"/>
      <c r="G42" s="12">
        <f>October!G42+F42</f>
        <v>0</v>
      </c>
    </row>
    <row r="43" spans="1:7" x14ac:dyDescent="0.2">
      <c r="A43" s="11" t="s">
        <v>41</v>
      </c>
      <c r="B43" s="82"/>
      <c r="C43" s="12">
        <f>October!C43+B43</f>
        <v>0</v>
      </c>
      <c r="D43" s="84"/>
      <c r="E43" s="12">
        <f>October!E43+D43</f>
        <v>0</v>
      </c>
      <c r="F43" s="12"/>
      <c r="G43" s="12">
        <f>October!G43+F43</f>
        <v>0</v>
      </c>
    </row>
    <row r="44" spans="1:7" x14ac:dyDescent="0.2">
      <c r="A44" s="11" t="s">
        <v>42</v>
      </c>
      <c r="B44" s="82"/>
      <c r="C44" s="12">
        <f>October!C44+B44</f>
        <v>360759</v>
      </c>
      <c r="D44" s="84"/>
      <c r="E44" s="12">
        <f>October!E44+D44</f>
        <v>9357</v>
      </c>
      <c r="F44" s="12"/>
      <c r="G44" s="12">
        <f>October!G44+F44</f>
        <v>0</v>
      </c>
    </row>
    <row r="45" spans="1:7" x14ac:dyDescent="0.2">
      <c r="A45" s="11" t="s">
        <v>43</v>
      </c>
      <c r="B45" s="86"/>
      <c r="C45" s="12">
        <f>October!C45+B45</f>
        <v>403</v>
      </c>
      <c r="D45" s="84"/>
      <c r="E45" s="12">
        <f>October!E45+D45</f>
        <v>113</v>
      </c>
      <c r="F45" s="12"/>
      <c r="G45" s="12">
        <f>October!G45+F45</f>
        <v>0</v>
      </c>
    </row>
    <row r="46" spans="1:7" x14ac:dyDescent="0.2">
      <c r="A46" s="11" t="s">
        <v>44</v>
      </c>
      <c r="B46" s="82"/>
      <c r="C46" s="12">
        <f>October!C46+B46</f>
        <v>439146</v>
      </c>
      <c r="D46" s="84"/>
      <c r="E46" s="12">
        <f>October!E46+D46</f>
        <v>292</v>
      </c>
      <c r="F46" s="12"/>
      <c r="G46" s="12">
        <f>October!G46+F46</f>
        <v>0</v>
      </c>
    </row>
    <row r="47" spans="1:7" x14ac:dyDescent="0.2">
      <c r="A47" s="11" t="s">
        <v>45</v>
      </c>
      <c r="B47" s="82"/>
      <c r="C47" s="12">
        <f>October!C47+B47</f>
        <v>289670</v>
      </c>
      <c r="D47" s="84"/>
      <c r="E47" s="12">
        <f>October!E47+D47</f>
        <v>0</v>
      </c>
      <c r="F47" s="12"/>
      <c r="G47" s="12">
        <f>October!G47+F47</f>
        <v>101</v>
      </c>
    </row>
    <row r="48" spans="1:7" x14ac:dyDescent="0.2">
      <c r="A48" s="11" t="s">
        <v>46</v>
      </c>
      <c r="B48" s="82"/>
      <c r="C48" s="12">
        <f>October!C48+B48</f>
        <v>0</v>
      </c>
      <c r="D48" s="84"/>
      <c r="E48" s="12">
        <f>October!E48+D48</f>
        <v>0</v>
      </c>
      <c r="F48" s="12"/>
      <c r="G48" s="12">
        <f>October!G48+F48</f>
        <v>0</v>
      </c>
    </row>
    <row r="49" spans="1:256" x14ac:dyDescent="0.2">
      <c r="A49" s="11" t="s">
        <v>47</v>
      </c>
      <c r="B49" s="82"/>
      <c r="C49" s="12">
        <f>October!C49+B49</f>
        <v>0</v>
      </c>
      <c r="D49" s="84"/>
      <c r="E49" s="12">
        <f>October!E49+D49</f>
        <v>2</v>
      </c>
      <c r="F49" s="12"/>
      <c r="G49" s="12">
        <f>October!G49+F49</f>
        <v>0</v>
      </c>
    </row>
    <row r="50" spans="1:256" x14ac:dyDescent="0.2">
      <c r="A50" s="11" t="s">
        <v>48</v>
      </c>
      <c r="B50" s="82"/>
      <c r="C50" s="12">
        <f>October!C50+B50</f>
        <v>0</v>
      </c>
      <c r="D50" s="84"/>
      <c r="E50" s="12">
        <f>October!E50+D50</f>
        <v>0</v>
      </c>
      <c r="F50" s="12"/>
      <c r="G50" s="12">
        <f>October!G50+F50</f>
        <v>0</v>
      </c>
    </row>
    <row r="51" spans="1:256" x14ac:dyDescent="0.2">
      <c r="A51" s="11" t="s">
        <v>49</v>
      </c>
      <c r="B51" s="82"/>
      <c r="C51" s="12">
        <f>October!C51+B51</f>
        <v>0</v>
      </c>
      <c r="D51" s="84"/>
      <c r="E51" s="12">
        <f>October!E51+D51</f>
        <v>0</v>
      </c>
      <c r="F51" s="12"/>
      <c r="G51" s="12">
        <f>October!G51+F51</f>
        <v>0</v>
      </c>
    </row>
    <row r="52" spans="1:256" x14ac:dyDescent="0.2">
      <c r="A52" s="11" t="s">
        <v>50</v>
      </c>
      <c r="B52" s="82"/>
      <c r="C52" s="12">
        <f>October!C52+B52</f>
        <v>124872</v>
      </c>
      <c r="D52" s="84"/>
      <c r="E52" s="12">
        <f>October!E52+D52</f>
        <v>2752</v>
      </c>
      <c r="F52" s="12"/>
      <c r="G52" s="12">
        <f>October!G52+F52</f>
        <v>0</v>
      </c>
    </row>
    <row r="53" spans="1:256" x14ac:dyDescent="0.2">
      <c r="A53" s="11" t="s">
        <v>51</v>
      </c>
      <c r="B53" s="82"/>
      <c r="C53" s="12">
        <f>October!C53+B53</f>
        <v>231531</v>
      </c>
      <c r="D53" s="84"/>
      <c r="E53" s="12">
        <f>October!E53+D53</f>
        <v>323</v>
      </c>
      <c r="F53" s="12"/>
      <c r="G53" s="12">
        <f>October!G53+F53</f>
        <v>0</v>
      </c>
    </row>
    <row r="54" spans="1:256" ht="15.75" thickBot="1" x14ac:dyDescent="0.25">
      <c r="A54" s="13" t="s">
        <v>52</v>
      </c>
      <c r="B54" s="82"/>
      <c r="C54" s="12">
        <f>October!C54+B54</f>
        <v>2147255</v>
      </c>
      <c r="D54" s="84"/>
      <c r="E54" s="12">
        <f>October!E54+D54</f>
        <v>6020</v>
      </c>
      <c r="F54" s="12"/>
      <c r="G54" s="12">
        <f>October!G54+F54</f>
        <v>99054</v>
      </c>
    </row>
    <row r="55" spans="1:256" ht="26.1" customHeight="1" thickTop="1" thickBot="1" x14ac:dyDescent="0.25">
      <c r="A55" s="14" t="s">
        <v>53</v>
      </c>
      <c r="B55" s="89">
        <f>SUM(B7:B54)</f>
        <v>0</v>
      </c>
      <c r="C55" s="15">
        <f>October!C55+B55</f>
        <v>16939039.46875</v>
      </c>
      <c r="D55" s="15">
        <f>SUM(D7:D54)</f>
        <v>0</v>
      </c>
      <c r="E55" s="15">
        <f>October!E55+D55</f>
        <v>108212</v>
      </c>
      <c r="F55" s="15">
        <f>SUM(F7:F54)</f>
        <v>0</v>
      </c>
      <c r="G55" s="15">
        <f>October!G55+F55</f>
        <v>105974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/>
      <c r="D58" s="24">
        <f>October!D58+C58</f>
        <v>200</v>
      </c>
      <c r="E58" s="18"/>
    </row>
    <row r="59" spans="1:256" x14ac:dyDescent="0.2">
      <c r="A59" s="1" t="s">
        <v>56</v>
      </c>
      <c r="B59" s="23"/>
      <c r="C59" s="23"/>
      <c r="D59" s="24">
        <f>October!D59+C59</f>
        <v>16600</v>
      </c>
    </row>
    <row r="60" spans="1:256" x14ac:dyDescent="0.2">
      <c r="A60" s="1" t="s">
        <v>57</v>
      </c>
      <c r="B60" s="23"/>
      <c r="C60" s="23"/>
      <c r="D60" s="24">
        <f>October!D60+C60</f>
        <v>300</v>
      </c>
    </row>
    <row r="61" spans="1:256" x14ac:dyDescent="0.2">
      <c r="A61" s="1" t="s">
        <v>58</v>
      </c>
      <c r="B61" s="23"/>
      <c r="C61" s="23"/>
      <c r="D61" s="24">
        <f>October!D61+C61</f>
        <v>0</v>
      </c>
    </row>
    <row r="62" spans="1:256" x14ac:dyDescent="0.2">
      <c r="A62" s="1" t="s">
        <v>59</v>
      </c>
      <c r="B62" s="23"/>
      <c r="C62" s="23"/>
      <c r="D62" s="24">
        <f>October!D62+C62</f>
        <v>243800</v>
      </c>
    </row>
    <row r="63" spans="1:256" x14ac:dyDescent="0.2">
      <c r="A63" s="1" t="s">
        <v>65</v>
      </c>
      <c r="B63" s="23"/>
      <c r="C63" s="23"/>
      <c r="D63" s="24">
        <f>October!D63+C63</f>
        <v>83601</v>
      </c>
    </row>
    <row r="64" spans="1:256" x14ac:dyDescent="0.2">
      <c r="A64" s="1" t="s">
        <v>63</v>
      </c>
      <c r="B64" s="23"/>
      <c r="C64" s="23"/>
      <c r="D64" s="24">
        <f>October!D64+C64</f>
        <v>117816</v>
      </c>
    </row>
    <row r="65" spans="1:4" x14ac:dyDescent="0.2">
      <c r="A65" s="1" t="s">
        <v>60</v>
      </c>
      <c r="C65" s="23"/>
      <c r="D65" s="24">
        <f>October!D65+C65</f>
        <v>0</v>
      </c>
    </row>
    <row r="66" spans="1:4" x14ac:dyDescent="0.2">
      <c r="A66" s="1" t="s">
        <v>61</v>
      </c>
      <c r="C66" s="23"/>
      <c r="D66" s="24">
        <f>October!D66+C66</f>
        <v>42766</v>
      </c>
    </row>
    <row r="67" spans="1:4" x14ac:dyDescent="0.2">
      <c r="A67" s="1" t="s">
        <v>62</v>
      </c>
      <c r="C67" s="23"/>
      <c r="D67" s="24">
        <f>October!D67+C67</f>
        <v>7650</v>
      </c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5" zoomScaleNormal="75" workbookViewId="0">
      <pane ySplit="6" topLeftCell="A28" activePane="bottomLeft" state="frozen"/>
      <selection pane="bottomLeft" activeCell="F28" sqref="F28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3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76</v>
      </c>
      <c r="I2" s="2"/>
    </row>
    <row r="3" spans="1:256" ht="12.95" customHeight="1" x14ac:dyDescent="0.25">
      <c r="F3" t="s">
        <v>77</v>
      </c>
      <c r="I3" s="2"/>
    </row>
    <row r="4" spans="1:256" ht="12.95" customHeight="1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2"/>
      <c r="C7" s="12">
        <f>November!C7+B7</f>
        <v>71629</v>
      </c>
      <c r="D7" s="84"/>
      <c r="E7" s="12">
        <f>November!E7+D7</f>
        <v>0</v>
      </c>
      <c r="F7" s="12"/>
      <c r="G7" s="12">
        <f>November!G7+F7</f>
        <v>0</v>
      </c>
    </row>
    <row r="8" spans="1:256" x14ac:dyDescent="0.2">
      <c r="A8" s="11" t="s">
        <v>64</v>
      </c>
      <c r="B8" s="82"/>
      <c r="C8" s="12">
        <f>November!C8+B8</f>
        <v>1</v>
      </c>
      <c r="D8" s="84"/>
      <c r="E8" s="12">
        <f>November!E8+D8</f>
        <v>19</v>
      </c>
      <c r="F8" s="12"/>
      <c r="G8" s="12">
        <f>November!G8+F8</f>
        <v>0</v>
      </c>
    </row>
    <row r="9" spans="1:256" x14ac:dyDescent="0.2">
      <c r="A9" s="11" t="s">
        <v>7</v>
      </c>
      <c r="B9" s="82"/>
      <c r="C9" s="12">
        <f>November!C9+B9</f>
        <v>221430</v>
      </c>
      <c r="D9" s="84"/>
      <c r="E9" s="12">
        <f>November!E9+D9</f>
        <v>40</v>
      </c>
      <c r="F9" s="12"/>
      <c r="G9" s="12">
        <f>November!G9+F9</f>
        <v>0</v>
      </c>
    </row>
    <row r="10" spans="1:256" x14ac:dyDescent="0.2">
      <c r="A10" s="11" t="s">
        <v>8</v>
      </c>
      <c r="B10" s="82"/>
      <c r="C10" s="12">
        <f>November!C10+B10</f>
        <v>0</v>
      </c>
      <c r="D10" s="84"/>
      <c r="E10" s="12">
        <f>November!E10+D10</f>
        <v>47</v>
      </c>
      <c r="F10" s="12"/>
      <c r="G10" s="12">
        <f>November!G10+F10</f>
        <v>0</v>
      </c>
    </row>
    <row r="11" spans="1:256" x14ac:dyDescent="0.2">
      <c r="A11" s="11" t="s">
        <v>9</v>
      </c>
      <c r="B11" s="82"/>
      <c r="C11" s="12">
        <f>November!C11+B11</f>
        <v>937525</v>
      </c>
      <c r="D11" s="84"/>
      <c r="E11" s="12">
        <f>November!E11+D11</f>
        <v>364</v>
      </c>
      <c r="F11" s="12"/>
      <c r="G11" s="12">
        <f>November!G11+F11</f>
        <v>0</v>
      </c>
    </row>
    <row r="12" spans="1:256" x14ac:dyDescent="0.2">
      <c r="A12" s="11" t="s">
        <v>10</v>
      </c>
      <c r="B12" s="82"/>
      <c r="C12" s="12">
        <f>November!C12+B12</f>
        <v>0</v>
      </c>
      <c r="D12" s="84"/>
      <c r="E12" s="12">
        <f>November!E12+D12</f>
        <v>0</v>
      </c>
      <c r="F12" s="12"/>
      <c r="G12" s="12">
        <f>November!G12+F12</f>
        <v>0</v>
      </c>
    </row>
    <row r="13" spans="1:256" x14ac:dyDescent="0.2">
      <c r="A13" s="11" t="s">
        <v>11</v>
      </c>
      <c r="B13" s="82"/>
      <c r="C13" s="12">
        <f>November!C13+B13</f>
        <v>0</v>
      </c>
      <c r="D13" s="84"/>
      <c r="E13" s="12">
        <f>November!E13+D13</f>
        <v>0</v>
      </c>
      <c r="F13" s="12"/>
      <c r="G13" s="12">
        <f>November!G13+F13</f>
        <v>0</v>
      </c>
    </row>
    <row r="14" spans="1:256" x14ac:dyDescent="0.2">
      <c r="A14" s="11" t="s">
        <v>12</v>
      </c>
      <c r="B14" s="82"/>
      <c r="C14" s="12">
        <f>November!C14+B14</f>
        <v>0</v>
      </c>
      <c r="D14" s="84"/>
      <c r="E14" s="12">
        <f>November!E14+D14</f>
        <v>0</v>
      </c>
      <c r="F14" s="12"/>
      <c r="G14" s="12">
        <f>November!G14+F14</f>
        <v>0</v>
      </c>
    </row>
    <row r="15" spans="1:256" x14ac:dyDescent="0.2">
      <c r="A15" s="11" t="s">
        <v>13</v>
      </c>
      <c r="B15" s="82"/>
      <c r="C15" s="12">
        <f>November!C15+B15</f>
        <v>38522</v>
      </c>
      <c r="D15" s="84"/>
      <c r="E15" s="12">
        <f>November!E15+D15</f>
        <v>1</v>
      </c>
      <c r="F15" s="12"/>
      <c r="G15" s="12">
        <f>November!G15+F15</f>
        <v>0</v>
      </c>
    </row>
    <row r="16" spans="1:256" x14ac:dyDescent="0.2">
      <c r="A16" s="11" t="s">
        <v>14</v>
      </c>
      <c r="B16" s="82"/>
      <c r="C16" s="12">
        <f>November!C16+B16</f>
        <v>0</v>
      </c>
      <c r="D16" s="84"/>
      <c r="E16" s="12">
        <f>November!E16+D16</f>
        <v>2</v>
      </c>
      <c r="F16" s="12"/>
      <c r="G16" s="12">
        <f>November!G16+F16</f>
        <v>0</v>
      </c>
    </row>
    <row r="17" spans="1:7" x14ac:dyDescent="0.2">
      <c r="A17" s="11" t="s">
        <v>15</v>
      </c>
      <c r="B17" s="82"/>
      <c r="C17" s="12">
        <f>November!C17+B17</f>
        <v>2816751</v>
      </c>
      <c r="D17" s="84"/>
      <c r="E17" s="12">
        <f>November!E17+D17</f>
        <v>14469</v>
      </c>
      <c r="F17" s="12"/>
      <c r="G17" s="12">
        <f>November!G17+F17</f>
        <v>0</v>
      </c>
    </row>
    <row r="18" spans="1:7" x14ac:dyDescent="0.2">
      <c r="A18" s="11" t="s">
        <v>16</v>
      </c>
      <c r="B18" s="82"/>
      <c r="C18" s="12">
        <f>November!C18+B18</f>
        <v>109472</v>
      </c>
      <c r="D18" s="84"/>
      <c r="E18" s="12">
        <f>November!E18+D18</f>
        <v>1504</v>
      </c>
      <c r="F18" s="12"/>
      <c r="G18" s="12">
        <f>November!G18+F18</f>
        <v>0</v>
      </c>
    </row>
    <row r="19" spans="1:7" x14ac:dyDescent="0.2">
      <c r="A19" s="11" t="s">
        <v>17</v>
      </c>
      <c r="B19" s="82"/>
      <c r="C19" s="12">
        <f>November!C19+B19</f>
        <v>153763</v>
      </c>
      <c r="D19" s="84"/>
      <c r="E19" s="12">
        <f>November!E19+D19</f>
        <v>3146</v>
      </c>
      <c r="F19" s="12"/>
      <c r="G19" s="12">
        <f>November!G19+F19</f>
        <v>0</v>
      </c>
    </row>
    <row r="20" spans="1:7" x14ac:dyDescent="0.2">
      <c r="A20" s="11" t="s">
        <v>18</v>
      </c>
      <c r="B20" s="82"/>
      <c r="C20" s="12">
        <f>November!C20+B20</f>
        <v>58</v>
      </c>
      <c r="D20" s="84"/>
      <c r="E20" s="12">
        <f>November!E20+D20</f>
        <v>887</v>
      </c>
      <c r="F20" s="12"/>
      <c r="G20" s="12">
        <f>November!G20+F20</f>
        <v>0</v>
      </c>
    </row>
    <row r="21" spans="1:7" x14ac:dyDescent="0.2">
      <c r="A21" s="11" t="s">
        <v>19</v>
      </c>
      <c r="B21" s="82"/>
      <c r="C21" s="12">
        <f>November!C21+B21</f>
        <v>0</v>
      </c>
      <c r="D21" s="84"/>
      <c r="E21" s="12">
        <f>November!E21+D21</f>
        <v>0</v>
      </c>
      <c r="F21" s="12"/>
      <c r="G21" s="12">
        <f>November!G21+F21</f>
        <v>0</v>
      </c>
    </row>
    <row r="22" spans="1:7" x14ac:dyDescent="0.2">
      <c r="A22" s="11" t="s">
        <v>20</v>
      </c>
      <c r="B22" s="82"/>
      <c r="C22" s="12">
        <f>November!C22+B22</f>
        <v>0</v>
      </c>
      <c r="D22" s="84"/>
      <c r="E22" s="12">
        <f>November!E22+D22</f>
        <v>0</v>
      </c>
      <c r="F22" s="12"/>
      <c r="G22" s="12">
        <f>November!G22+F22</f>
        <v>0</v>
      </c>
    </row>
    <row r="23" spans="1:7" x14ac:dyDescent="0.2">
      <c r="A23" s="11" t="s">
        <v>21</v>
      </c>
      <c r="B23" s="82"/>
      <c r="C23" s="12">
        <f>November!C23+B23</f>
        <v>0</v>
      </c>
      <c r="D23" s="84"/>
      <c r="E23" s="12">
        <f>November!E23+D23</f>
        <v>1</v>
      </c>
      <c r="F23" s="12"/>
      <c r="G23" s="12">
        <f>November!G23+F23</f>
        <v>0</v>
      </c>
    </row>
    <row r="24" spans="1:7" x14ac:dyDescent="0.2">
      <c r="A24" s="11" t="s">
        <v>22</v>
      </c>
      <c r="B24" s="82"/>
      <c r="C24" s="12">
        <f>November!C24+B24</f>
        <v>0</v>
      </c>
      <c r="D24" s="84"/>
      <c r="E24" s="12">
        <f>November!E24+D24</f>
        <v>0</v>
      </c>
      <c r="F24" s="12"/>
      <c r="G24" s="12">
        <f>November!G24+F24</f>
        <v>0</v>
      </c>
    </row>
    <row r="25" spans="1:7" x14ac:dyDescent="0.2">
      <c r="A25" s="11" t="s">
        <v>23</v>
      </c>
      <c r="B25" s="82"/>
      <c r="C25" s="12">
        <f>November!C25+B25</f>
        <v>6803</v>
      </c>
      <c r="D25" s="84"/>
      <c r="E25" s="12">
        <f>November!E25+D25</f>
        <v>12667</v>
      </c>
      <c r="F25" s="12"/>
      <c r="G25" s="12">
        <f>November!G25+F25</f>
        <v>0</v>
      </c>
    </row>
    <row r="26" spans="1:7" x14ac:dyDescent="0.2">
      <c r="A26" s="11" t="s">
        <v>24</v>
      </c>
      <c r="B26" s="82"/>
      <c r="C26" s="12">
        <f>November!C26+B26</f>
        <v>1574817</v>
      </c>
      <c r="D26" s="84"/>
      <c r="E26" s="12">
        <f>November!E26+D26</f>
        <v>14744</v>
      </c>
      <c r="F26" s="12"/>
      <c r="G26" s="12">
        <f>November!G26+F26</f>
        <v>6588</v>
      </c>
    </row>
    <row r="27" spans="1:7" x14ac:dyDescent="0.2">
      <c r="A27" s="11" t="s">
        <v>25</v>
      </c>
      <c r="B27" s="82"/>
      <c r="C27" s="12">
        <f>November!C27+B27</f>
        <v>326976.46875</v>
      </c>
      <c r="D27" s="84"/>
      <c r="E27" s="12">
        <f>November!E27+D27</f>
        <v>7</v>
      </c>
      <c r="F27" s="12"/>
      <c r="G27" s="12">
        <f>November!G27+F27</f>
        <v>0</v>
      </c>
    </row>
    <row r="28" spans="1:7" x14ac:dyDescent="0.2">
      <c r="A28" s="11" t="s">
        <v>26</v>
      </c>
      <c r="B28" s="82"/>
      <c r="C28" s="12">
        <f>November!C28+B28</f>
        <v>2279953</v>
      </c>
      <c r="D28" s="84"/>
      <c r="E28" s="12">
        <f>November!E28+D28</f>
        <v>1149</v>
      </c>
      <c r="F28" s="12"/>
      <c r="G28" s="12">
        <f>November!G28+F28</f>
        <v>76</v>
      </c>
    </row>
    <row r="29" spans="1:7" x14ac:dyDescent="0.2">
      <c r="A29" s="11" t="s">
        <v>27</v>
      </c>
      <c r="B29" s="82"/>
      <c r="C29" s="12">
        <f>November!C29+B29</f>
        <v>57598</v>
      </c>
      <c r="D29" s="84"/>
      <c r="E29" s="12">
        <f>November!E29+D29</f>
        <v>0</v>
      </c>
      <c r="F29" s="12"/>
      <c r="G29" s="12">
        <f>November!G29+F29</f>
        <v>0</v>
      </c>
    </row>
    <row r="30" spans="1:7" x14ac:dyDescent="0.2">
      <c r="A30" s="11" t="s">
        <v>28</v>
      </c>
      <c r="B30" s="82"/>
      <c r="C30" s="12">
        <f>November!C30+B30</f>
        <v>1368678</v>
      </c>
      <c r="D30" s="84"/>
      <c r="E30" s="12">
        <f>November!E30+D30</f>
        <v>22147</v>
      </c>
      <c r="F30" s="12"/>
      <c r="G30" s="12">
        <f>November!G30+F30</f>
        <v>155</v>
      </c>
    </row>
    <row r="31" spans="1:7" x14ac:dyDescent="0.2">
      <c r="A31" s="11" t="s">
        <v>29</v>
      </c>
      <c r="B31" s="82"/>
      <c r="C31" s="12">
        <f>November!C31+B31</f>
        <v>0</v>
      </c>
      <c r="D31" s="84"/>
      <c r="E31" s="12">
        <f>November!E31+D31</f>
        <v>1</v>
      </c>
      <c r="F31" s="12"/>
      <c r="G31" s="12">
        <f>November!G31+F31</f>
        <v>0</v>
      </c>
    </row>
    <row r="32" spans="1:7" x14ac:dyDescent="0.2">
      <c r="A32" s="11" t="s">
        <v>30</v>
      </c>
      <c r="B32" s="82"/>
      <c r="C32" s="12">
        <f>November!C32+B32</f>
        <v>0</v>
      </c>
      <c r="D32" s="84"/>
      <c r="E32" s="12">
        <f>November!E32+D32</f>
        <v>0</v>
      </c>
      <c r="F32" s="12"/>
      <c r="G32" s="12">
        <f>November!G32+F32</f>
        <v>0</v>
      </c>
    </row>
    <row r="33" spans="1:7" x14ac:dyDescent="0.2">
      <c r="A33" s="11" t="s">
        <v>31</v>
      </c>
      <c r="B33" s="82"/>
      <c r="C33" s="12">
        <f>November!C33+B33</f>
        <v>0</v>
      </c>
      <c r="D33" s="84"/>
      <c r="E33" s="12">
        <f>November!E33+D33</f>
        <v>0</v>
      </c>
      <c r="F33" s="12"/>
      <c r="G33" s="12">
        <f>November!G33+F33</f>
        <v>0</v>
      </c>
    </row>
    <row r="34" spans="1:7" x14ac:dyDescent="0.2">
      <c r="A34" s="11" t="s">
        <v>32</v>
      </c>
      <c r="B34" s="82"/>
      <c r="C34" s="12">
        <f>November!C34+B34</f>
        <v>0</v>
      </c>
      <c r="D34" s="84"/>
      <c r="E34" s="12">
        <f>November!E34+D34</f>
        <v>0</v>
      </c>
      <c r="F34" s="12"/>
      <c r="G34" s="12">
        <f>November!G34+F34</f>
        <v>0</v>
      </c>
    </row>
    <row r="35" spans="1:7" x14ac:dyDescent="0.2">
      <c r="A35" s="11" t="s">
        <v>33</v>
      </c>
      <c r="B35" s="82"/>
      <c r="C35" s="12">
        <f>November!C35+B35</f>
        <v>0</v>
      </c>
      <c r="D35" s="84"/>
      <c r="E35" s="12">
        <f>November!E35+D35</f>
        <v>1</v>
      </c>
      <c r="F35" s="12"/>
      <c r="G35" s="12">
        <f>November!G35+F35</f>
        <v>0</v>
      </c>
    </row>
    <row r="36" spans="1:7" x14ac:dyDescent="0.2">
      <c r="A36" s="11" t="s">
        <v>34</v>
      </c>
      <c r="B36" s="82"/>
      <c r="C36" s="12">
        <f>November!C36+B36</f>
        <v>1082807</v>
      </c>
      <c r="D36" s="84"/>
      <c r="E36" s="12">
        <f>November!E36+D36</f>
        <v>1</v>
      </c>
      <c r="F36" s="12"/>
      <c r="G36" s="12">
        <f>November!G36+F36</f>
        <v>0</v>
      </c>
    </row>
    <row r="37" spans="1:7" x14ac:dyDescent="0.2">
      <c r="A37" s="11" t="s">
        <v>35</v>
      </c>
      <c r="B37" s="82"/>
      <c r="C37" s="12">
        <f>November!C37+B37</f>
        <v>263480</v>
      </c>
      <c r="D37" s="84"/>
      <c r="E37" s="12">
        <f>November!E37+D37</f>
        <v>5182</v>
      </c>
      <c r="F37" s="12"/>
      <c r="G37" s="12">
        <f>November!G37+F37</f>
        <v>0</v>
      </c>
    </row>
    <row r="38" spans="1:7" x14ac:dyDescent="0.2">
      <c r="A38" s="11" t="s">
        <v>36</v>
      </c>
      <c r="B38" s="82"/>
      <c r="C38" s="12">
        <f>November!C38+B38</f>
        <v>105155</v>
      </c>
      <c r="D38" s="84"/>
      <c r="E38" s="12">
        <f>November!E38+D38</f>
        <v>8182</v>
      </c>
      <c r="F38" s="12"/>
      <c r="G38" s="12">
        <f>November!G38+F38</f>
        <v>0</v>
      </c>
    </row>
    <row r="39" spans="1:7" x14ac:dyDescent="0.2">
      <c r="A39" s="11" t="s">
        <v>37</v>
      </c>
      <c r="B39" s="82"/>
      <c r="C39" s="12">
        <f>November!C39+B39</f>
        <v>1920324</v>
      </c>
      <c r="D39" s="84"/>
      <c r="E39" s="12">
        <f>November!E39+D39</f>
        <v>263</v>
      </c>
      <c r="F39" s="12"/>
      <c r="G39" s="12">
        <f>November!G39+F39</f>
        <v>0</v>
      </c>
    </row>
    <row r="40" spans="1:7" x14ac:dyDescent="0.2">
      <c r="A40" s="11" t="s">
        <v>38</v>
      </c>
      <c r="B40" s="82"/>
      <c r="C40" s="12">
        <f>November!C40+B40</f>
        <v>0</v>
      </c>
      <c r="D40" s="84"/>
      <c r="E40" s="12">
        <f>November!E40+D40</f>
        <v>0</v>
      </c>
      <c r="F40" s="12"/>
      <c r="G40" s="12">
        <f>November!G40+F40</f>
        <v>0</v>
      </c>
    </row>
    <row r="41" spans="1:7" x14ac:dyDescent="0.2">
      <c r="A41" s="11" t="s">
        <v>39</v>
      </c>
      <c r="B41" s="82"/>
      <c r="C41" s="12">
        <f>November!C41+B41</f>
        <v>9661</v>
      </c>
      <c r="D41" s="84"/>
      <c r="E41" s="12">
        <f>November!E41+D41</f>
        <v>4529</v>
      </c>
      <c r="F41" s="12"/>
      <c r="G41" s="12">
        <f>November!G41+F41</f>
        <v>0</v>
      </c>
    </row>
    <row r="42" spans="1:7" x14ac:dyDescent="0.2">
      <c r="A42" s="11" t="s">
        <v>40</v>
      </c>
      <c r="B42" s="82"/>
      <c r="C42" s="12">
        <f>November!C42+B42</f>
        <v>0</v>
      </c>
      <c r="D42" s="84"/>
      <c r="E42" s="12">
        <f>November!E42+D42</f>
        <v>0</v>
      </c>
      <c r="F42" s="12"/>
      <c r="G42" s="12">
        <f>November!G42+F42</f>
        <v>0</v>
      </c>
    </row>
    <row r="43" spans="1:7" x14ac:dyDescent="0.2">
      <c r="A43" s="11" t="s">
        <v>41</v>
      </c>
      <c r="B43" s="82"/>
      <c r="C43" s="12">
        <f>November!C43+B43</f>
        <v>0</v>
      </c>
      <c r="D43" s="84"/>
      <c r="E43" s="12">
        <f>November!E43+D43</f>
        <v>0</v>
      </c>
      <c r="F43" s="12"/>
      <c r="G43" s="12">
        <f>November!G43+F43</f>
        <v>0</v>
      </c>
    </row>
    <row r="44" spans="1:7" x14ac:dyDescent="0.2">
      <c r="A44" s="11" t="s">
        <v>42</v>
      </c>
      <c r="B44" s="82"/>
      <c r="C44" s="12">
        <f>November!C44+B44</f>
        <v>360759</v>
      </c>
      <c r="D44" s="84"/>
      <c r="E44" s="12">
        <f>November!E44+D44</f>
        <v>9357</v>
      </c>
      <c r="F44" s="12"/>
      <c r="G44" s="12">
        <f>November!G44+F44</f>
        <v>0</v>
      </c>
    </row>
    <row r="45" spans="1:7" x14ac:dyDescent="0.2">
      <c r="A45" s="11" t="s">
        <v>43</v>
      </c>
      <c r="B45" s="82"/>
      <c r="C45" s="12">
        <f>November!C45+B45</f>
        <v>403</v>
      </c>
      <c r="D45" s="84"/>
      <c r="E45" s="12">
        <f>November!E45+D45</f>
        <v>113</v>
      </c>
      <c r="F45" s="12"/>
      <c r="G45" s="12">
        <f>November!G45+F45</f>
        <v>0</v>
      </c>
    </row>
    <row r="46" spans="1:7" x14ac:dyDescent="0.2">
      <c r="A46" s="11" t="s">
        <v>44</v>
      </c>
      <c r="B46" s="82"/>
      <c r="C46" s="12">
        <f>November!C46+B46</f>
        <v>439146</v>
      </c>
      <c r="D46" s="84"/>
      <c r="E46" s="12">
        <f>November!E46+D46</f>
        <v>292</v>
      </c>
      <c r="F46" s="12"/>
      <c r="G46" s="12">
        <f>November!G46+F46</f>
        <v>0</v>
      </c>
    </row>
    <row r="47" spans="1:7" x14ac:dyDescent="0.2">
      <c r="A47" s="11" t="s">
        <v>45</v>
      </c>
      <c r="B47" s="82"/>
      <c r="C47" s="12">
        <f>November!C47+B47</f>
        <v>289670</v>
      </c>
      <c r="D47" s="84"/>
      <c r="E47" s="12">
        <f>November!E47+D47</f>
        <v>0</v>
      </c>
      <c r="F47" s="12"/>
      <c r="G47" s="12">
        <f>November!G47+F47</f>
        <v>101</v>
      </c>
    </row>
    <row r="48" spans="1:7" x14ac:dyDescent="0.2">
      <c r="A48" s="11" t="s">
        <v>46</v>
      </c>
      <c r="B48" s="82"/>
      <c r="C48" s="12">
        <f>November!C48+B48</f>
        <v>0</v>
      </c>
      <c r="D48" s="84"/>
      <c r="E48" s="12">
        <f>November!E48+D48</f>
        <v>0</v>
      </c>
      <c r="F48" s="12"/>
      <c r="G48" s="12">
        <f>November!G48+F48</f>
        <v>0</v>
      </c>
    </row>
    <row r="49" spans="1:256" x14ac:dyDescent="0.2">
      <c r="A49" s="11" t="s">
        <v>47</v>
      </c>
      <c r="B49" s="82"/>
      <c r="C49" s="12">
        <f>November!C49+B49</f>
        <v>0</v>
      </c>
      <c r="D49" s="84"/>
      <c r="E49" s="12">
        <f>November!E49+D49</f>
        <v>2</v>
      </c>
      <c r="F49" s="12"/>
      <c r="G49" s="12">
        <f>November!G49+F49</f>
        <v>0</v>
      </c>
    </row>
    <row r="50" spans="1:256" x14ac:dyDescent="0.2">
      <c r="A50" s="11" t="s">
        <v>48</v>
      </c>
      <c r="B50" s="82"/>
      <c r="C50" s="12">
        <f>November!C50+B50</f>
        <v>0</v>
      </c>
      <c r="D50" s="84"/>
      <c r="E50" s="12">
        <f>November!E50+D50</f>
        <v>0</v>
      </c>
      <c r="F50" s="12"/>
      <c r="G50" s="12">
        <f>November!G50+F50</f>
        <v>0</v>
      </c>
    </row>
    <row r="51" spans="1:256" x14ac:dyDescent="0.2">
      <c r="A51" s="11" t="s">
        <v>49</v>
      </c>
      <c r="B51" s="82"/>
      <c r="C51" s="12">
        <f>November!C51+B51</f>
        <v>0</v>
      </c>
      <c r="D51" s="84"/>
      <c r="E51" s="12">
        <f>November!E51+D51</f>
        <v>0</v>
      </c>
      <c r="F51" s="12"/>
      <c r="G51" s="12">
        <f>November!G51+F51</f>
        <v>0</v>
      </c>
    </row>
    <row r="52" spans="1:256" x14ac:dyDescent="0.2">
      <c r="A52" s="11" t="s">
        <v>50</v>
      </c>
      <c r="B52" s="82"/>
      <c r="C52" s="12">
        <f>November!C52+B52</f>
        <v>124872</v>
      </c>
      <c r="D52" s="84"/>
      <c r="E52" s="12">
        <f>November!E52+D52</f>
        <v>2752</v>
      </c>
      <c r="F52" s="12"/>
      <c r="G52" s="12">
        <f>November!G52+F52</f>
        <v>0</v>
      </c>
    </row>
    <row r="53" spans="1:256" x14ac:dyDescent="0.2">
      <c r="A53" s="11" t="s">
        <v>51</v>
      </c>
      <c r="B53" s="82"/>
      <c r="C53" s="12">
        <f>November!C53+B53</f>
        <v>231531</v>
      </c>
      <c r="D53" s="84"/>
      <c r="E53" s="12">
        <f>November!E53+D53</f>
        <v>323</v>
      </c>
      <c r="F53" s="12"/>
      <c r="G53" s="12">
        <f>November!G53+F53</f>
        <v>0</v>
      </c>
    </row>
    <row r="54" spans="1:256" ht="15.75" thickBot="1" x14ac:dyDescent="0.25">
      <c r="A54" s="13" t="s">
        <v>52</v>
      </c>
      <c r="B54" s="82"/>
      <c r="C54" s="12">
        <f>November!C54+B54</f>
        <v>2147255</v>
      </c>
      <c r="D54" s="84"/>
      <c r="E54" s="12">
        <f>November!E54+D54</f>
        <v>6020</v>
      </c>
      <c r="F54" s="12"/>
      <c r="G54" s="12">
        <f>November!G54+F54</f>
        <v>99054</v>
      </c>
    </row>
    <row r="55" spans="1:256" ht="26.1" customHeight="1" thickTop="1" thickBot="1" x14ac:dyDescent="0.25">
      <c r="A55" s="14" t="s">
        <v>53</v>
      </c>
      <c r="B55" s="15">
        <f>SUM(B7:B54)</f>
        <v>0</v>
      </c>
      <c r="C55" s="15">
        <f>November!C55+B55</f>
        <v>16939039.46875</v>
      </c>
      <c r="D55" s="15">
        <f>SUM(D7:D54)</f>
        <v>0</v>
      </c>
      <c r="E55" s="15">
        <f>November!E55+D55</f>
        <v>108212</v>
      </c>
      <c r="F55" s="15">
        <f>SUM(F7:F54)</f>
        <v>0</v>
      </c>
      <c r="G55" s="15">
        <f>November!G55+F55</f>
        <v>105974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/>
      <c r="D58" s="24">
        <f>November!D58+C58</f>
        <v>200</v>
      </c>
      <c r="E58" s="18"/>
    </row>
    <row r="59" spans="1:256" x14ac:dyDescent="0.2">
      <c r="A59" s="1" t="s">
        <v>56</v>
      </c>
      <c r="B59" s="23"/>
      <c r="C59" s="23"/>
      <c r="D59" s="24">
        <f>November!D59+C59</f>
        <v>16600</v>
      </c>
    </row>
    <row r="60" spans="1:256" x14ac:dyDescent="0.2">
      <c r="A60" s="1" t="s">
        <v>57</v>
      </c>
      <c r="B60" s="23"/>
      <c r="C60" s="23"/>
      <c r="D60" s="24">
        <f>November!D60+C60</f>
        <v>300</v>
      </c>
    </row>
    <row r="61" spans="1:256" x14ac:dyDescent="0.2">
      <c r="A61" s="1" t="s">
        <v>58</v>
      </c>
      <c r="B61" s="23"/>
      <c r="C61" s="23"/>
      <c r="D61" s="24">
        <f>November!D61+C61</f>
        <v>0</v>
      </c>
    </row>
    <row r="62" spans="1:256" x14ac:dyDescent="0.2">
      <c r="A62" s="1" t="s">
        <v>59</v>
      </c>
      <c r="B62" s="23"/>
      <c r="C62" s="23"/>
      <c r="D62" s="24">
        <f>November!D62+C62</f>
        <v>243800</v>
      </c>
    </row>
    <row r="63" spans="1:256" x14ac:dyDescent="0.2">
      <c r="A63" s="1" t="s">
        <v>65</v>
      </c>
      <c r="B63" s="23"/>
      <c r="C63" s="23"/>
      <c r="D63" s="24">
        <f>November!D63+C63</f>
        <v>83601</v>
      </c>
    </row>
    <row r="64" spans="1:256" x14ac:dyDescent="0.2">
      <c r="A64" s="1" t="s">
        <v>63</v>
      </c>
      <c r="B64" s="23"/>
      <c r="C64" s="23"/>
      <c r="D64" s="24">
        <f>November!D64+C64</f>
        <v>117816</v>
      </c>
    </row>
    <row r="65" spans="1:4" x14ac:dyDescent="0.2">
      <c r="A65" s="1" t="s">
        <v>60</v>
      </c>
      <c r="C65" s="23"/>
      <c r="D65" s="24">
        <f>November!D65+C65</f>
        <v>0</v>
      </c>
    </row>
    <row r="66" spans="1:4" x14ac:dyDescent="0.2">
      <c r="A66" s="1" t="s">
        <v>61</v>
      </c>
      <c r="C66" s="23"/>
      <c r="D66" s="24">
        <f>November!D66+C66</f>
        <v>42766</v>
      </c>
    </row>
    <row r="67" spans="1:4" x14ac:dyDescent="0.2">
      <c r="A67" s="1" t="s">
        <v>62</v>
      </c>
      <c r="C67" s="23"/>
      <c r="D67" s="24">
        <f>November!D67+C67</f>
        <v>7650</v>
      </c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5" zoomScaleNormal="75" workbookViewId="0">
      <pane ySplit="6" topLeftCell="A42" activePane="bottomLeft" state="frozen"/>
      <selection pane="bottomLeft" activeCell="A42" sqref="A42"/>
    </sheetView>
  </sheetViews>
  <sheetFormatPr defaultColWidth="11.77734375" defaultRowHeight="15" x14ac:dyDescent="0.2"/>
  <cols>
    <col min="1" max="1" width="16.77734375" style="53" customWidth="1"/>
    <col min="2" max="4" width="13.6640625" style="49" customWidth="1"/>
    <col min="5" max="7" width="12.6640625" style="49" customWidth="1"/>
    <col min="8" max="16384" width="11.77734375" style="49"/>
  </cols>
  <sheetData>
    <row r="1" spans="1:256" ht="1.1499999999999999" customHeight="1" x14ac:dyDescent="0.25">
      <c r="I1" s="63"/>
    </row>
    <row r="2" spans="1:256" ht="23.25" x14ac:dyDescent="0.35">
      <c r="A2" s="3" t="s">
        <v>80</v>
      </c>
      <c r="B2" s="64"/>
      <c r="D2" s="64"/>
      <c r="F2" s="49" t="s">
        <v>67</v>
      </c>
      <c r="G2" s="41"/>
      <c r="I2" s="63"/>
    </row>
    <row r="3" spans="1:256" ht="12.95" customHeight="1" x14ac:dyDescent="0.25">
      <c r="F3" s="49" t="s">
        <v>79</v>
      </c>
      <c r="I3" s="63"/>
    </row>
    <row r="4" spans="1:256" ht="12.95" customHeight="1" thickBot="1" x14ac:dyDescent="0.3">
      <c r="E4" s="63"/>
      <c r="G4" s="63"/>
      <c r="I4" s="63"/>
    </row>
    <row r="5" spans="1:256" ht="21.2" customHeight="1" thickBot="1" x14ac:dyDescent="0.3">
      <c r="B5" s="66" t="s">
        <v>0</v>
      </c>
      <c r="C5" s="67"/>
      <c r="D5" s="68" t="s">
        <v>1</v>
      </c>
      <c r="E5" s="67"/>
      <c r="F5" s="68" t="s">
        <v>2</v>
      </c>
      <c r="G5" s="67"/>
    </row>
    <row r="6" spans="1:256" ht="16.5" thickBot="1" x14ac:dyDescent="0.25">
      <c r="A6" s="69" t="s">
        <v>3</v>
      </c>
      <c r="B6" s="70" t="s">
        <v>4</v>
      </c>
      <c r="C6" s="70" t="s">
        <v>5</v>
      </c>
      <c r="D6" s="70" t="s">
        <v>4</v>
      </c>
      <c r="E6" s="70" t="s">
        <v>5</v>
      </c>
      <c r="F6" s="70" t="s">
        <v>4</v>
      </c>
      <c r="G6" s="70" t="s">
        <v>5</v>
      </c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</row>
    <row r="7" spans="1:256" x14ac:dyDescent="0.2">
      <c r="A7" s="43" t="s">
        <v>6</v>
      </c>
      <c r="B7" s="79">
        <f>920+920+885+1000+350+650+414+885+885</f>
        <v>6909</v>
      </c>
      <c r="C7" s="25">
        <f>January!C7+B7</f>
        <v>17534</v>
      </c>
      <c r="D7" s="81"/>
      <c r="E7" s="25">
        <f>January!E7+D7</f>
        <v>0</v>
      </c>
      <c r="F7" s="25"/>
      <c r="G7" s="25">
        <f>January!G7+F7</f>
        <v>0</v>
      </c>
    </row>
    <row r="8" spans="1:256" x14ac:dyDescent="0.2">
      <c r="A8" s="43" t="s">
        <v>64</v>
      </c>
      <c r="B8" s="79"/>
      <c r="C8" s="25">
        <f>January!C8+B8</f>
        <v>0</v>
      </c>
      <c r="D8" s="81"/>
      <c r="E8" s="25">
        <f>January!E8+D8</f>
        <v>0</v>
      </c>
      <c r="F8" s="25"/>
      <c r="G8" s="25">
        <f>January!G8+F8</f>
        <v>0</v>
      </c>
    </row>
    <row r="9" spans="1:256" x14ac:dyDescent="0.2">
      <c r="A9" s="43" t="s">
        <v>7</v>
      </c>
      <c r="B9" s="79">
        <f>1050+1050+1050+400+650+1050+1050+1050+710+445+1050+538+458+650+600</f>
        <v>11801</v>
      </c>
      <c r="C9" s="25">
        <f>January!C9+B9</f>
        <v>31651</v>
      </c>
      <c r="D9" s="81"/>
      <c r="E9" s="25">
        <f>January!E9+D9</f>
        <v>0</v>
      </c>
      <c r="F9" s="25"/>
      <c r="G9" s="25">
        <f>January!G9+F9</f>
        <v>0</v>
      </c>
    </row>
    <row r="10" spans="1:256" x14ac:dyDescent="0.2">
      <c r="A10" s="43" t="s">
        <v>8</v>
      </c>
      <c r="B10" s="79"/>
      <c r="C10" s="25">
        <f>January!C10+B10</f>
        <v>0</v>
      </c>
      <c r="D10" s="81"/>
      <c r="E10" s="25">
        <f>January!E10+D10</f>
        <v>0</v>
      </c>
      <c r="F10" s="25"/>
      <c r="G10" s="25">
        <f>January!G10+F10</f>
        <v>0</v>
      </c>
    </row>
    <row r="11" spans="1:256" x14ac:dyDescent="0.2">
      <c r="A11" s="91" t="s">
        <v>52</v>
      </c>
      <c r="B11" s="79">
        <v>276220</v>
      </c>
      <c r="C11" s="25">
        <f>January!C11+B11</f>
        <v>522550</v>
      </c>
      <c r="D11" s="81">
        <v>688</v>
      </c>
      <c r="E11" s="25">
        <f>January!E11+D11</f>
        <v>1654</v>
      </c>
      <c r="F11" s="25">
        <v>10904</v>
      </c>
      <c r="G11" s="25">
        <f>January!G11+F11</f>
        <v>27711</v>
      </c>
    </row>
    <row r="12" spans="1:256" x14ac:dyDescent="0.2">
      <c r="A12" s="43" t="s">
        <v>9</v>
      </c>
      <c r="B12" s="79">
        <f>1360+905+2250+2050+1245+500+1200+1300+450+1250+1100+1100+1100+1100+2250+720+650+1200+300+900+225+775+1000+1000+1000+1200+1200+500+400+500+1100+1100+1100+1100+450+1000+550+235+1815+1200+1100+1100+1200+2300+2250+1800+1750+2500+570+1530+2050+785+1240+2400+1640+910+2200+2150+663+1737+2100+47699</f>
        <v>122054</v>
      </c>
      <c r="C12" s="25">
        <f>January!C12+B12</f>
        <v>297032</v>
      </c>
      <c r="D12" s="81">
        <f>180</f>
        <v>180</v>
      </c>
      <c r="E12" s="25">
        <f>January!E12+D12</f>
        <v>350</v>
      </c>
      <c r="F12" s="25"/>
      <c r="G12" s="25">
        <f>January!G12+F12</f>
        <v>0</v>
      </c>
    </row>
    <row r="13" spans="1:256" x14ac:dyDescent="0.2">
      <c r="A13" s="43" t="s">
        <v>10</v>
      </c>
      <c r="B13" s="79"/>
      <c r="C13" s="25">
        <f>January!C13+B13</f>
        <v>0</v>
      </c>
      <c r="D13" s="81"/>
      <c r="E13" s="25">
        <f>January!E13+D13</f>
        <v>0</v>
      </c>
      <c r="F13" s="25"/>
      <c r="G13" s="25">
        <f>January!G13+F13</f>
        <v>0</v>
      </c>
    </row>
    <row r="14" spans="1:256" x14ac:dyDescent="0.2">
      <c r="A14" s="43" t="s">
        <v>11</v>
      </c>
      <c r="B14" s="79"/>
      <c r="C14" s="25">
        <f>January!C14+B14</f>
        <v>0</v>
      </c>
      <c r="D14" s="81"/>
      <c r="E14" s="25">
        <f>January!E14+D14</f>
        <v>0</v>
      </c>
      <c r="F14" s="25"/>
      <c r="G14" s="25">
        <f>January!G14+F14</f>
        <v>0</v>
      </c>
    </row>
    <row r="15" spans="1:256" x14ac:dyDescent="0.2">
      <c r="A15" s="43" t="s">
        <v>12</v>
      </c>
      <c r="B15" s="79"/>
      <c r="C15" s="25">
        <f>January!C15+B15</f>
        <v>0</v>
      </c>
      <c r="D15" s="81"/>
      <c r="E15" s="25">
        <f>January!E15+D15</f>
        <v>0</v>
      </c>
      <c r="F15" s="25"/>
      <c r="G15" s="25">
        <f>January!G15+F15</f>
        <v>0</v>
      </c>
    </row>
    <row r="16" spans="1:256" x14ac:dyDescent="0.2">
      <c r="A16" s="43" t="s">
        <v>13</v>
      </c>
      <c r="B16" s="79">
        <f>1150+1150+1200</f>
        <v>3500</v>
      </c>
      <c r="C16" s="25">
        <f>January!C16+B16</f>
        <v>9300</v>
      </c>
      <c r="D16" s="81"/>
      <c r="E16" s="25">
        <f>January!E16+D16</f>
        <v>0</v>
      </c>
      <c r="F16" s="25"/>
      <c r="G16" s="25">
        <f>January!G16+F16</f>
        <v>0</v>
      </c>
    </row>
    <row r="17" spans="1:7" x14ac:dyDescent="0.2">
      <c r="A17" s="43" t="s">
        <v>14</v>
      </c>
      <c r="B17" s="79"/>
      <c r="C17" s="25">
        <f>January!C17+B17</f>
        <v>0</v>
      </c>
      <c r="D17" s="81"/>
      <c r="E17" s="25">
        <f>January!E17+D17</f>
        <v>0</v>
      </c>
      <c r="F17" s="25"/>
      <c r="G17" s="25">
        <f>January!G17+F17</f>
        <v>0</v>
      </c>
    </row>
    <row r="18" spans="1:7" x14ac:dyDescent="0.2">
      <c r="A18" s="43" t="s">
        <v>15</v>
      </c>
      <c r="B18" s="79">
        <f>1300+1225+1225+1225+640+796+415+1486+1467+940+1000+240+1145+250+1080+1080+1080+920+1060+1200+800+800+1550+900+1050+1200+1200+550+900+800+335+330+800+350+1300+1550+1475+1100+1429+250+776+350+250+1509+1000+1060+1303+1302+800+200+625+1060+345+350+335+325+340+350+330+160+55+345+340+350+350+345+345+345+390+330+340+345+325+340+85+345+350+350+350+220+350+340+340+340+140+330+355+340+340+350+340+345+260+335+340+345+345+340+340+330+1453+1457+767+1000+1000+1491+225+840+840+840+840+840+1225+240182</f>
        <v>317003</v>
      </c>
      <c r="C18" s="25">
        <f>January!C18+B18</f>
        <v>586810</v>
      </c>
      <c r="D18" s="81">
        <f>170+260+326</f>
        <v>756</v>
      </c>
      <c r="E18" s="25">
        <f>January!E18+D18</f>
        <v>2289</v>
      </c>
      <c r="F18" s="25"/>
      <c r="G18" s="25">
        <f>January!G18+F18</f>
        <v>0</v>
      </c>
    </row>
    <row r="19" spans="1:7" x14ac:dyDescent="0.2">
      <c r="A19" s="43" t="s">
        <v>16</v>
      </c>
      <c r="B19" s="79">
        <f>525+8660</f>
        <v>9185</v>
      </c>
      <c r="C19" s="25">
        <f>January!C19+B19</f>
        <v>26272</v>
      </c>
      <c r="D19" s="81">
        <f>1+120</f>
        <v>121</v>
      </c>
      <c r="E19" s="25">
        <f>January!E19+D19</f>
        <v>463</v>
      </c>
      <c r="F19" s="25"/>
      <c r="G19" s="25">
        <f>January!G19+F19</f>
        <v>0</v>
      </c>
    </row>
    <row r="20" spans="1:7" x14ac:dyDescent="0.2">
      <c r="A20" s="43" t="s">
        <v>17</v>
      </c>
      <c r="B20" s="79">
        <f>55+756+334+444+1225+66+2000+320+1250+755+495+880+255+800+200+200+9335</f>
        <v>19370</v>
      </c>
      <c r="C20" s="25">
        <f>January!C20+B20</f>
        <v>43748</v>
      </c>
      <c r="D20" s="81"/>
      <c r="E20" s="25">
        <f>January!E20+D20</f>
        <v>32</v>
      </c>
      <c r="F20" s="25"/>
      <c r="G20" s="25">
        <f>January!G20+F20</f>
        <v>0</v>
      </c>
    </row>
    <row r="21" spans="1:7" x14ac:dyDescent="0.2">
      <c r="A21" s="43" t="s">
        <v>18</v>
      </c>
      <c r="B21" s="79">
        <f>10+2+7+3+6</f>
        <v>28</v>
      </c>
      <c r="C21" s="25">
        <f>January!C21+B21</f>
        <v>28</v>
      </c>
      <c r="D21" s="81"/>
      <c r="E21" s="25">
        <f>January!E21+D21</f>
        <v>12</v>
      </c>
      <c r="F21" s="25"/>
      <c r="G21" s="25">
        <f>January!G21+F21</f>
        <v>0</v>
      </c>
    </row>
    <row r="22" spans="1:7" x14ac:dyDescent="0.2">
      <c r="A22" s="43" t="s">
        <v>19</v>
      </c>
      <c r="B22" s="79"/>
      <c r="C22" s="25">
        <f>January!C22+B22</f>
        <v>0</v>
      </c>
      <c r="D22" s="81"/>
      <c r="E22" s="25">
        <f>January!E22+D22</f>
        <v>0</v>
      </c>
      <c r="F22" s="25"/>
      <c r="G22" s="25">
        <f>January!G22+F22</f>
        <v>0</v>
      </c>
    </row>
    <row r="23" spans="1:7" x14ac:dyDescent="0.2">
      <c r="A23" s="43" t="s">
        <v>20</v>
      </c>
      <c r="B23" s="79"/>
      <c r="C23" s="25">
        <f>January!C23+B23</f>
        <v>0</v>
      </c>
      <c r="D23" s="81"/>
      <c r="E23" s="25">
        <f>January!E23+D23</f>
        <v>0</v>
      </c>
      <c r="F23" s="25"/>
      <c r="G23" s="25">
        <f>January!G23+F23</f>
        <v>0</v>
      </c>
    </row>
    <row r="24" spans="1:7" x14ac:dyDescent="0.2">
      <c r="A24" s="43" t="s">
        <v>21</v>
      </c>
      <c r="B24" s="79"/>
      <c r="C24" s="25">
        <f>January!C24+B24</f>
        <v>0</v>
      </c>
      <c r="D24" s="81"/>
      <c r="E24" s="25">
        <f>January!E24+D24</f>
        <v>0</v>
      </c>
      <c r="F24" s="25"/>
      <c r="G24" s="25">
        <f>January!G24+F24</f>
        <v>0</v>
      </c>
    </row>
    <row r="25" spans="1:7" x14ac:dyDescent="0.2">
      <c r="A25" s="43" t="s">
        <v>22</v>
      </c>
      <c r="B25" s="79"/>
      <c r="C25" s="25">
        <f>January!C25+B25</f>
        <v>0</v>
      </c>
      <c r="D25" s="81"/>
      <c r="E25" s="25">
        <f>January!E25+D25</f>
        <v>0</v>
      </c>
      <c r="F25" s="25"/>
      <c r="G25" s="25">
        <f>January!G25+F25</f>
        <v>0</v>
      </c>
    </row>
    <row r="26" spans="1:7" x14ac:dyDescent="0.2">
      <c r="A26" s="43" t="s">
        <v>23</v>
      </c>
      <c r="B26" s="79">
        <v>464</v>
      </c>
      <c r="C26" s="25">
        <f>January!C26+B26</f>
        <v>464</v>
      </c>
      <c r="D26" s="81">
        <v>328</v>
      </c>
      <c r="E26" s="25">
        <f>January!E26+D26</f>
        <v>503</v>
      </c>
      <c r="F26" s="25"/>
      <c r="G26" s="25">
        <f>January!G26+F26</f>
        <v>0</v>
      </c>
    </row>
    <row r="27" spans="1:7" x14ac:dyDescent="0.2">
      <c r="A27" s="43" t="s">
        <v>24</v>
      </c>
      <c r="B27" s="79">
        <f>1000+1000+170+175+460+460+850+540+300+720+2535+1521+540+266+220+260+106+2325+930+1080+2400+2400+115+224+320+360+2400+2300+2000+660+550+625+300+625+1000+1000+579+23+1780+480+260+300+200+122+212+800+1000+2400+2000+41+525+400+850+850+1960+1960+320+1200+300+200+225+2000+400+190+256+200+360+602+40+2000+2000+2000+1200+180+2400+210+2000+1030+2056+850+2000+2200+400+212+2880+2100+142+199+350+525+390+258+182+1040+1000+20+1000+330+1000+1000+597+46+850+108+650+2054+2054+510+510+150+200+525+294+540+270+318+520+400+400+266+1050+1000+360+254+110494</f>
        <v>213346</v>
      </c>
      <c r="C27" s="25">
        <f>January!C27+B27</f>
        <v>358911</v>
      </c>
      <c r="D27" s="81">
        <f>30+212+566</f>
        <v>808</v>
      </c>
      <c r="E27" s="25">
        <f>January!E27+D27</f>
        <v>4391</v>
      </c>
      <c r="F27" s="25"/>
      <c r="G27" s="25">
        <f>January!G27+F27</f>
        <v>0</v>
      </c>
    </row>
    <row r="28" spans="1:7" x14ac:dyDescent="0.2">
      <c r="A28" s="43" t="s">
        <v>25</v>
      </c>
      <c r="B28" s="79">
        <v>36860</v>
      </c>
      <c r="C28" s="25">
        <f>January!C28+B28</f>
        <v>83085</v>
      </c>
      <c r="D28" s="81"/>
      <c r="E28" s="25">
        <f>January!E28+D28</f>
        <v>0</v>
      </c>
      <c r="F28" s="25"/>
      <c r="G28" s="25">
        <f>January!G28+F28</f>
        <v>0</v>
      </c>
    </row>
    <row r="29" spans="1:7" x14ac:dyDescent="0.2">
      <c r="A29" s="43" t="s">
        <v>26</v>
      </c>
      <c r="B29" s="79">
        <f>606+606+608+605+1325+1050+1240+1250+730+1150+635+1300+1300+550+600+1200+211+1226+613+400+1355+1200+1200+1860+620+1474+565+661+311+670+525+525+579+579+285+1470+350+875+500+200+750+1500+1675+1350+1350+1560+1350+1350+720+720+720+1860+1200+1548+1625+475+475+1565+1927+1923+1667+1+690+140+250+1000+1000+925+925+600+600+600+1705+175998</f>
        <v>244753</v>
      </c>
      <c r="C29" s="25">
        <f>January!C29+B29</f>
        <v>575876</v>
      </c>
      <c r="D29" s="81">
        <f>3</f>
        <v>3</v>
      </c>
      <c r="E29" s="25">
        <f>January!E29+D29</f>
        <v>83</v>
      </c>
      <c r="F29" s="25"/>
      <c r="G29" s="25">
        <f>January!G29+F29</f>
        <v>21</v>
      </c>
    </row>
    <row r="30" spans="1:7" x14ac:dyDescent="0.2">
      <c r="A30" s="43" t="s">
        <v>27</v>
      </c>
      <c r="B30" s="79">
        <f>1250+1250+1268+2200</f>
        <v>5968</v>
      </c>
      <c r="C30" s="25">
        <f>January!C30+B30</f>
        <v>12968</v>
      </c>
      <c r="D30" s="81"/>
      <c r="E30" s="25">
        <f>January!E30+D30</f>
        <v>0</v>
      </c>
      <c r="F30" s="25"/>
      <c r="G30" s="25">
        <f>January!G30+F30</f>
        <v>0</v>
      </c>
    </row>
    <row r="31" spans="1:7" x14ac:dyDescent="0.2">
      <c r="A31" s="43" t="s">
        <v>28</v>
      </c>
      <c r="B31" s="79">
        <f>600+35+1300+1400+1450+200+250+800+1450+250+1450+2110+1011+596+1279+1500+1240+1920+1560+200+1560+1375+775+1050+60+600+1300+200+460+1300+460+400+700+700+1200+1200+1300+1200+1200+1300+96+1200+240+145+145+600+240+620+240+1025+350+632+982+1405+1300+1400+982+982+982+500+600+550+250+235+1050+1550+1550+200+330+1014+760+760+760+740+740+740+705+705+705+1014+1014+650+650+650+550+475+475+35+106909</f>
        <v>179373</v>
      </c>
      <c r="C31" s="25">
        <f>January!C31+B31</f>
        <v>291796</v>
      </c>
      <c r="D31" s="81">
        <f>2+485+746+110+70+240+118+5+175+45+120+850+138+45+120+40+40+96+101+45+23+34+225+215+205+40+140+200+500+3</f>
        <v>5176</v>
      </c>
      <c r="E31" s="25">
        <f>January!E31+D31</f>
        <v>6373</v>
      </c>
      <c r="F31" s="25"/>
      <c r="G31" s="25">
        <f>January!G31+F31</f>
        <v>0</v>
      </c>
    </row>
    <row r="32" spans="1:7" x14ac:dyDescent="0.2">
      <c r="A32" s="43" t="s">
        <v>29</v>
      </c>
      <c r="B32" s="79"/>
      <c r="C32" s="25">
        <f>January!C32+B32</f>
        <v>0</v>
      </c>
      <c r="D32" s="81"/>
      <c r="E32" s="25">
        <f>January!E32+D32</f>
        <v>0</v>
      </c>
      <c r="F32" s="25"/>
      <c r="G32" s="25">
        <f>January!G32+F32</f>
        <v>0</v>
      </c>
    </row>
    <row r="33" spans="1:7" x14ac:dyDescent="0.2">
      <c r="A33" s="43" t="s">
        <v>30</v>
      </c>
      <c r="B33" s="79"/>
      <c r="C33" s="25">
        <f>January!C33+B33</f>
        <v>0</v>
      </c>
      <c r="D33" s="81"/>
      <c r="E33" s="25">
        <f>January!E33+D33</f>
        <v>0</v>
      </c>
      <c r="F33" s="25"/>
      <c r="G33" s="25">
        <f>January!G33+F33</f>
        <v>0</v>
      </c>
    </row>
    <row r="34" spans="1:7" x14ac:dyDescent="0.2">
      <c r="A34" s="43" t="s">
        <v>31</v>
      </c>
      <c r="B34" s="79"/>
      <c r="C34" s="25">
        <f>January!C34+B34</f>
        <v>0</v>
      </c>
      <c r="D34" s="81"/>
      <c r="E34" s="25">
        <f>January!E34+D34</f>
        <v>0</v>
      </c>
      <c r="F34" s="25"/>
      <c r="G34" s="25">
        <f>January!G34+F34</f>
        <v>0</v>
      </c>
    </row>
    <row r="35" spans="1:7" x14ac:dyDescent="0.2">
      <c r="A35" s="43" t="s">
        <v>32</v>
      </c>
      <c r="B35" s="79"/>
      <c r="C35" s="25">
        <f>January!C35+B35</f>
        <v>0</v>
      </c>
      <c r="D35" s="81"/>
      <c r="E35" s="25">
        <f>January!E35+D35</f>
        <v>0</v>
      </c>
      <c r="F35" s="25"/>
      <c r="G35" s="25">
        <f>January!G35+F35</f>
        <v>0</v>
      </c>
    </row>
    <row r="36" spans="1:7" x14ac:dyDescent="0.2">
      <c r="A36" s="43" t="s">
        <v>33</v>
      </c>
      <c r="B36" s="79"/>
      <c r="C36" s="25">
        <f>January!C36+B36</f>
        <v>0</v>
      </c>
      <c r="D36" s="81"/>
      <c r="E36" s="25">
        <f>January!E36+D36</f>
        <v>0</v>
      </c>
      <c r="F36" s="25"/>
      <c r="G36" s="25">
        <f>January!G36+F36</f>
        <v>0</v>
      </c>
    </row>
    <row r="37" spans="1:7" x14ac:dyDescent="0.2">
      <c r="A37" s="43" t="s">
        <v>34</v>
      </c>
      <c r="B37" s="79">
        <f>750+800+800+500+800+850+133278</f>
        <v>137778</v>
      </c>
      <c r="C37" s="25">
        <f>January!C37+B37</f>
        <v>274278</v>
      </c>
      <c r="D37" s="81"/>
      <c r="E37" s="25">
        <f>January!E37+D37</f>
        <v>0</v>
      </c>
      <c r="F37" s="25"/>
      <c r="G37" s="25">
        <f>January!G37+F37</f>
        <v>0</v>
      </c>
    </row>
    <row r="38" spans="1:7" x14ac:dyDescent="0.2">
      <c r="A38" s="43" t="s">
        <v>35</v>
      </c>
      <c r="B38" s="79">
        <f>2400+1000+1200+2200+1000+350+350+2270+1200+1000+2400+1300+190+260+2500+2400+2500+2500+2500+2500+7500</f>
        <v>39520</v>
      </c>
      <c r="C38" s="25">
        <f>January!C38+B38</f>
        <v>73945</v>
      </c>
      <c r="D38" s="81">
        <f>120+190+105+200</f>
        <v>615</v>
      </c>
      <c r="E38" s="25">
        <f>January!E38+D38</f>
        <v>1115</v>
      </c>
      <c r="F38" s="25"/>
      <c r="G38" s="25">
        <f>January!G38+F38</f>
        <v>0</v>
      </c>
    </row>
    <row r="39" spans="1:7" x14ac:dyDescent="0.2">
      <c r="A39" s="43" t="s">
        <v>36</v>
      </c>
      <c r="B39" s="79">
        <f>810+500+17901</f>
        <v>19211</v>
      </c>
      <c r="C39" s="25">
        <f>January!C39+B39</f>
        <v>33282</v>
      </c>
      <c r="D39" s="81"/>
      <c r="E39" s="25">
        <f>January!E39+D39</f>
        <v>65</v>
      </c>
      <c r="F39" s="25"/>
      <c r="G39" s="25">
        <f>January!G39+F39</f>
        <v>0</v>
      </c>
    </row>
    <row r="40" spans="1:7" x14ac:dyDescent="0.2">
      <c r="A40" s="43" t="s">
        <v>37</v>
      </c>
      <c r="B40" s="79">
        <f>2160+1720+1025+1135+2160+1870+2160+1855+1800+120+1980+1900+209+2160+2160+120+2160+1250+600+1970+2160+2160+2080+1960+2160+2160+1620+2160+1140+2160+750+2000+155+240+186402</f>
        <v>239821</v>
      </c>
      <c r="C40" s="25">
        <f>January!C40+B40</f>
        <v>453867</v>
      </c>
      <c r="D40" s="81"/>
      <c r="E40" s="25">
        <f>January!E40+D40</f>
        <v>0</v>
      </c>
      <c r="F40" s="25"/>
      <c r="G40" s="25">
        <f>January!G40+F40</f>
        <v>0</v>
      </c>
    </row>
    <row r="41" spans="1:7" x14ac:dyDescent="0.2">
      <c r="A41" s="43" t="s">
        <v>38</v>
      </c>
      <c r="B41" s="79"/>
      <c r="C41" s="25">
        <f>January!C41+B41</f>
        <v>0</v>
      </c>
      <c r="D41" s="81"/>
      <c r="E41" s="25">
        <f>January!E41+D41</f>
        <v>0</v>
      </c>
      <c r="F41" s="25"/>
      <c r="G41" s="25">
        <f>January!G41+F41</f>
        <v>0</v>
      </c>
    </row>
    <row r="42" spans="1:7" x14ac:dyDescent="0.2">
      <c r="A42" s="43" t="s">
        <v>39</v>
      </c>
      <c r="B42" s="79">
        <f>1400+1060+1400+1400</f>
        <v>5260</v>
      </c>
      <c r="C42" s="25">
        <f>January!C42+B42</f>
        <v>7660</v>
      </c>
      <c r="D42" s="81">
        <f>180+170</f>
        <v>350</v>
      </c>
      <c r="E42" s="25">
        <f>January!E42+D42</f>
        <v>350</v>
      </c>
      <c r="F42" s="25"/>
      <c r="G42" s="25">
        <f>January!G42+F42</f>
        <v>0</v>
      </c>
    </row>
    <row r="43" spans="1:7" x14ac:dyDescent="0.2">
      <c r="A43" s="43" t="s">
        <v>40</v>
      </c>
      <c r="B43" s="79"/>
      <c r="C43" s="25">
        <f>January!C43+B43</f>
        <v>0</v>
      </c>
      <c r="D43" s="81"/>
      <c r="E43" s="25">
        <f>January!E43+D43</f>
        <v>0</v>
      </c>
      <c r="F43" s="25"/>
      <c r="G43" s="25">
        <f>January!G43+F43</f>
        <v>0</v>
      </c>
    </row>
    <row r="44" spans="1:7" x14ac:dyDescent="0.2">
      <c r="A44" s="43" t="s">
        <v>41</v>
      </c>
      <c r="B44" s="79"/>
      <c r="C44" s="25">
        <f>January!C44+B44</f>
        <v>0</v>
      </c>
      <c r="D44" s="81"/>
      <c r="E44" s="25">
        <f>January!E44+D44</f>
        <v>0</v>
      </c>
      <c r="F44" s="25"/>
      <c r="G44" s="25">
        <f>January!G44+F44</f>
        <v>0</v>
      </c>
    </row>
    <row r="45" spans="1:7" x14ac:dyDescent="0.2">
      <c r="A45" s="43" t="s">
        <v>42</v>
      </c>
      <c r="B45" s="79">
        <f>630+630+630+630+630+1300+1200+300+615+300+300+1100+200+2500+2500+700+1100+300+600+950+17+22580</f>
        <v>39712</v>
      </c>
      <c r="C45" s="25">
        <f>January!C45+B45</f>
        <v>86652</v>
      </c>
      <c r="D45" s="81">
        <f>30+110+63+1+60+37+106</f>
        <v>407</v>
      </c>
      <c r="E45" s="25">
        <f>January!E45+D45</f>
        <v>2745</v>
      </c>
      <c r="F45" s="25"/>
      <c r="G45" s="25">
        <f>January!G45+F45</f>
        <v>0</v>
      </c>
    </row>
    <row r="46" spans="1:7" x14ac:dyDescent="0.2">
      <c r="A46" s="43" t="s">
        <v>43</v>
      </c>
      <c r="B46" s="79"/>
      <c r="C46" s="25">
        <f>January!C46+B46</f>
        <v>0</v>
      </c>
      <c r="D46" s="81"/>
      <c r="E46" s="25">
        <f>January!E46+D46</f>
        <v>0</v>
      </c>
      <c r="F46" s="25"/>
      <c r="G46" s="25">
        <f>January!G46+F46</f>
        <v>0</v>
      </c>
    </row>
    <row r="47" spans="1:7" x14ac:dyDescent="0.2">
      <c r="A47" s="43" t="s">
        <v>44</v>
      </c>
      <c r="B47" s="79">
        <v>23813</v>
      </c>
      <c r="C47" s="25">
        <f>January!C47+B47</f>
        <v>66533</v>
      </c>
      <c r="D47" s="81"/>
      <c r="E47" s="25">
        <f>January!E47+D47</f>
        <v>4</v>
      </c>
      <c r="F47" s="25"/>
      <c r="G47" s="25">
        <f>January!G47+F47</f>
        <v>0</v>
      </c>
    </row>
    <row r="48" spans="1:7" x14ac:dyDescent="0.2">
      <c r="A48" s="43" t="s">
        <v>45</v>
      </c>
      <c r="B48" s="79">
        <v>35492</v>
      </c>
      <c r="C48" s="25">
        <f>January!C48+B48</f>
        <v>71232</v>
      </c>
      <c r="D48" s="81"/>
      <c r="E48" s="25">
        <f>January!E48+D48</f>
        <v>0</v>
      </c>
      <c r="F48" s="25"/>
      <c r="G48" s="25">
        <f>January!G48+F48</f>
        <v>0</v>
      </c>
    </row>
    <row r="49" spans="1:256" x14ac:dyDescent="0.2">
      <c r="A49" s="43" t="s">
        <v>46</v>
      </c>
      <c r="B49" s="79"/>
      <c r="C49" s="25">
        <f>January!C49+B49</f>
        <v>0</v>
      </c>
      <c r="D49" s="81"/>
      <c r="E49" s="25">
        <f>January!E49+D49</f>
        <v>0</v>
      </c>
      <c r="F49" s="25"/>
      <c r="G49" s="25">
        <f>January!G49+F49</f>
        <v>0</v>
      </c>
    </row>
    <row r="50" spans="1:256" x14ac:dyDescent="0.2">
      <c r="A50" s="43" t="s">
        <v>47</v>
      </c>
      <c r="B50" s="79"/>
      <c r="C50" s="25">
        <f>January!C50+B50</f>
        <v>0</v>
      </c>
      <c r="D50" s="81"/>
      <c r="E50" s="25">
        <f>January!E50+D50</f>
        <v>0</v>
      </c>
      <c r="F50" s="25"/>
      <c r="G50" s="25">
        <f>January!G50+F50</f>
        <v>0</v>
      </c>
    </row>
    <row r="51" spans="1:256" x14ac:dyDescent="0.2">
      <c r="A51" s="43" t="s">
        <v>48</v>
      </c>
      <c r="B51" s="79"/>
      <c r="C51" s="25">
        <f>January!C51+B51</f>
        <v>0</v>
      </c>
      <c r="D51" s="81"/>
      <c r="E51" s="25">
        <f>January!E51+D51</f>
        <v>0</v>
      </c>
      <c r="F51" s="25"/>
      <c r="G51" s="25">
        <f>January!G51+F51</f>
        <v>0</v>
      </c>
    </row>
    <row r="52" spans="1:256" x14ac:dyDescent="0.2">
      <c r="A52" s="43" t="s">
        <v>49</v>
      </c>
      <c r="B52" s="79"/>
      <c r="C52" s="25">
        <f>January!C52+B52</f>
        <v>0</v>
      </c>
      <c r="D52" s="81"/>
      <c r="E52" s="25">
        <f>January!E52+D52</f>
        <v>0</v>
      </c>
      <c r="F52" s="25"/>
      <c r="G52" s="25">
        <f>January!G52+F52</f>
        <v>0</v>
      </c>
    </row>
    <row r="53" spans="1:256" x14ac:dyDescent="0.2">
      <c r="A53" s="43" t="s">
        <v>50</v>
      </c>
      <c r="B53" s="79">
        <f>200+200+100+300+120+280+850+92+2100+600+850+225+400+100+250+225+1160</f>
        <v>8052</v>
      </c>
      <c r="C53" s="25">
        <f>January!C53+B53</f>
        <v>17218</v>
      </c>
      <c r="D53" s="81">
        <v>670</v>
      </c>
      <c r="E53" s="25">
        <f>January!E53+D53</f>
        <v>1749</v>
      </c>
      <c r="F53" s="25"/>
      <c r="G53" s="25">
        <f>January!G53+F53</f>
        <v>0</v>
      </c>
    </row>
    <row r="54" spans="1:256" ht="15.75" thickBot="1" x14ac:dyDescent="0.25">
      <c r="A54" s="43" t="s">
        <v>51</v>
      </c>
      <c r="B54" s="79">
        <f>785+1575+1785+1905+1905+1645+1620+740+2360+1885+429+1206</f>
        <v>17840</v>
      </c>
      <c r="C54" s="25">
        <f>January!C54+B54</f>
        <v>63010</v>
      </c>
      <c r="D54" s="81"/>
      <c r="E54" s="25">
        <f>January!E54+D54</f>
        <v>0</v>
      </c>
      <c r="F54" s="25"/>
      <c r="G54" s="25">
        <f>January!G54+F54</f>
        <v>0</v>
      </c>
    </row>
    <row r="55" spans="1:256" ht="26.1" customHeight="1" thickBot="1" x14ac:dyDescent="0.25">
      <c r="A55" s="75" t="s">
        <v>53</v>
      </c>
      <c r="B55" s="57">
        <f>SUM(B7:B54)</f>
        <v>2013333</v>
      </c>
      <c r="C55" s="57">
        <f>January!C55+B55</f>
        <v>4005702</v>
      </c>
      <c r="D55" s="57">
        <f>SUM(D7:D54)</f>
        <v>10102</v>
      </c>
      <c r="E55" s="57">
        <f>January!E55+D55</f>
        <v>22178</v>
      </c>
      <c r="F55" s="57">
        <f>SUM(F7:F54)</f>
        <v>10904</v>
      </c>
      <c r="G55" s="57">
        <f>January!G55+F55</f>
        <v>27732</v>
      </c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3"/>
      <c r="GN55" s="73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3"/>
      <c r="HC55" s="73"/>
      <c r="HD55" s="73"/>
      <c r="HE55" s="73"/>
      <c r="HF55" s="73"/>
      <c r="HG55" s="73"/>
      <c r="HH55" s="73"/>
      <c r="HI55" s="73"/>
      <c r="HJ55" s="73"/>
      <c r="HK55" s="73"/>
      <c r="HL55" s="73"/>
      <c r="HM55" s="73"/>
      <c r="HN55" s="73"/>
      <c r="HO55" s="73"/>
      <c r="HP55" s="73"/>
      <c r="HQ55" s="73"/>
      <c r="HR55" s="73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3"/>
      <c r="IG55" s="73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  <c r="IT55" s="73"/>
      <c r="IU55" s="73"/>
      <c r="IV55" s="73"/>
    </row>
    <row r="56" spans="1:256" ht="18" x14ac:dyDescent="0.25">
      <c r="A56" s="76"/>
      <c r="B56" s="48"/>
      <c r="C56" s="48"/>
      <c r="D56" s="48"/>
      <c r="E56" s="48"/>
    </row>
    <row r="57" spans="1:256" ht="16.5" thickBot="1" x14ac:dyDescent="0.3">
      <c r="A57" s="77" t="s">
        <v>54</v>
      </c>
      <c r="B57" s="48"/>
      <c r="C57" s="58" t="s">
        <v>4</v>
      </c>
      <c r="D57" s="59" t="s">
        <v>5</v>
      </c>
      <c r="E57" s="48"/>
    </row>
    <row r="58" spans="1:256" x14ac:dyDescent="0.2">
      <c r="A58" s="53" t="s">
        <v>55</v>
      </c>
      <c r="B58" s="54"/>
      <c r="C58" s="26"/>
      <c r="D58" s="55">
        <f>January!D58+C58</f>
        <v>0</v>
      </c>
      <c r="E58" s="48"/>
    </row>
    <row r="59" spans="1:256" x14ac:dyDescent="0.2">
      <c r="A59" s="53" t="s">
        <v>56</v>
      </c>
      <c r="B59" s="26"/>
      <c r="C59" s="26"/>
      <c r="D59" s="55">
        <f>January!D59+C59</f>
        <v>1540</v>
      </c>
    </row>
    <row r="60" spans="1:256" x14ac:dyDescent="0.2">
      <c r="A60" s="53" t="s">
        <v>57</v>
      </c>
      <c r="B60" s="26"/>
      <c r="C60" s="26"/>
      <c r="D60" s="55">
        <f>January!D60+C60</f>
        <v>0</v>
      </c>
    </row>
    <row r="61" spans="1:256" x14ac:dyDescent="0.2">
      <c r="A61" s="53" t="s">
        <v>58</v>
      </c>
      <c r="B61" s="26"/>
      <c r="C61" s="26"/>
      <c r="D61" s="55">
        <f>January!D61+C61</f>
        <v>0</v>
      </c>
    </row>
    <row r="62" spans="1:256" x14ac:dyDescent="0.2">
      <c r="A62" s="53" t="s">
        <v>59</v>
      </c>
      <c r="B62" s="26"/>
      <c r="C62" s="26">
        <f>150+140+375+85+100+270+50+200+150+85+100+260+70+85+200+400+70+85+100+100+125+125+225+160+150+70+280+175+135+280+110+45+175+280+150+135+280+110+45+81+190+160+90+61+90+200+120+68+160+190+210+187+137+833+60+120+120+300+75+140+80+175+55+150+300+70+200+70+175+55+150+175+200+250+220+35+115+140+170+8+175+168+216+30+50+8+68+96+12+16+8+25+26+8+12+8+8+12+50+96+66+180+190+82+260+85+56+170+90+225+325+85+100+170+50+475+85+100+260+70+225+250+400+85+100+250+90+300+85+100+260+70+120+150+250+80+250+90+170+230+250+70+375+150+355+175+55+150+300+220+175+190+100+250+150+175+55+275+70+140+60+160+150+70+300+150+55+175+200+45+135+110+280+200+150+175+45+110+280+135+320+150+175+25+68+70+90+45+115+240+90+130+31+90+84+200+110+135+320+45+175+150+250+1400+1370+1124+204+1710+3600</f>
        <v>39467</v>
      </c>
      <c r="D62" s="55">
        <f>January!D62+C62</f>
        <v>88805</v>
      </c>
    </row>
    <row r="63" spans="1:256" x14ac:dyDescent="0.2">
      <c r="A63" s="53" t="s">
        <v>65</v>
      </c>
      <c r="B63" s="26"/>
      <c r="C63" s="26">
        <f>80+80+100+75+240+52+30+90+45+20+75+170+70+106+45+90+270+75+170+52+240+170+75+45+90+30+80+80+170+75+100+75+30+20+270+90+45+106+70</f>
        <v>3796</v>
      </c>
      <c r="D63" s="55">
        <f>January!D63+C63</f>
        <v>16724</v>
      </c>
    </row>
    <row r="64" spans="1:256" x14ac:dyDescent="0.2">
      <c r="A64" s="53" t="s">
        <v>63</v>
      </c>
      <c r="B64" s="26"/>
      <c r="C64" s="26">
        <f>26+140+40+95+140+170+175+50+70+65+68+40+26+95+180+170+250+105+140+170+68+130+30+42+120+170+27+22+58+100+80+40+40+45+70+35+175+33+12+19+80+26+22+58+200+15+45+25+45+40+175+43+70+35+33+12+26+6+3+120+140+50+120+140+120+140+50+75+24+140+140+130+140+140+120+140+75+120+140+120+140+50+140+140+140+80+130+50+120+140+140+50+50+75+120+140+50+120+140+120+130+130+85+170+170+225+140+15+68+30+26+105+70+16+68+130+140+170+85+180+170+250+35+90+65+140+30+85+140+170+225+85+26+26+68+40+33+12+21+208+24+58+22+230+15+75+57+40+40+40+75+10+100+120+55+70+42+175+22+22+28+33+12+14+35+110+56+70+35+33+12+30+12+30+130+143+18+58+22+100+10+75+40+40+175+40+46+70+35+50+26+65+140+40+85+160+170+225+68+40+26+68+175+85+200+170+250+80+205+140+155+30+14+30+120+92+110+75+40+40+180+175+43+70+35+50+33+12+40+57+75+15+20+120+80+230+20+175+46+70+35+33+12+105+68+140+120+85+85+180+170+110+250+26+65+68+85+140+170+150+75+180+140+40+40+26+60+33+12+175+42+70+35+80+19+33+12+30+43+120+80+100+85+40+40+195+43+70+35+80+15+230+60+57+40</f>
        <v>25137</v>
      </c>
      <c r="D64" s="55">
        <f>January!D64+C64</f>
        <v>59329</v>
      </c>
    </row>
    <row r="65" spans="1:4" x14ac:dyDescent="0.2">
      <c r="A65" s="53" t="s">
        <v>60</v>
      </c>
      <c r="C65" s="26"/>
      <c r="D65" s="55">
        <f>January!D65+C65</f>
        <v>0</v>
      </c>
    </row>
    <row r="66" spans="1:4" x14ac:dyDescent="0.2">
      <c r="A66" s="53" t="s">
        <v>61</v>
      </c>
      <c r="C66" s="26">
        <f>41+19+139+31+935+1320+178+150+178+150+175+150+174+150+178+200+178+1915+1050+315</f>
        <v>7626</v>
      </c>
      <c r="D66" s="55">
        <f>January!D66+C66</f>
        <v>9386</v>
      </c>
    </row>
    <row r="67" spans="1:4" x14ac:dyDescent="0.2">
      <c r="A67" s="53" t="s">
        <v>62</v>
      </c>
      <c r="C67" s="26">
        <v>1070</v>
      </c>
      <c r="D67" s="55">
        <f>January!D67+C67</f>
        <v>3050</v>
      </c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9"/>
  <sheetViews>
    <sheetView defaultGridColor="0" colorId="22" zoomScale="75" zoomScaleNormal="75" workbookViewId="0">
      <pane ySplit="6" topLeftCell="A32" activePane="bottomLeft" state="frozen"/>
      <selection pane="bottomLeft" activeCell="A32" sqref="A32"/>
    </sheetView>
  </sheetViews>
  <sheetFormatPr defaultColWidth="11.77734375" defaultRowHeight="15" x14ac:dyDescent="0.2"/>
  <cols>
    <col min="1" max="1" width="16.77734375" style="1" customWidth="1"/>
    <col min="2" max="2" width="13.6640625" customWidth="1"/>
    <col min="3" max="3" width="13.77734375" customWidth="1"/>
    <col min="4" max="4" width="13.88671875" customWidth="1"/>
    <col min="5" max="7" width="12.6640625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68</v>
      </c>
      <c r="G2" s="41"/>
      <c r="I2" s="2"/>
    </row>
    <row r="3" spans="1:256" ht="15.75" x14ac:dyDescent="0.25">
      <c r="F3" s="49" t="s">
        <v>79</v>
      </c>
      <c r="I3" s="2"/>
    </row>
    <row r="4" spans="1:256" ht="12.95" customHeight="1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79">
        <f>905+905+145+753+905+1000+905+905</f>
        <v>6423</v>
      </c>
      <c r="C7" s="25">
        <f>February!C7+B7</f>
        <v>23957</v>
      </c>
      <c r="D7" s="81"/>
      <c r="E7" s="25">
        <f>February!E7+D7</f>
        <v>0</v>
      </c>
      <c r="F7" s="25"/>
      <c r="G7" s="25">
        <f>February!G7+F7</f>
        <v>0</v>
      </c>
    </row>
    <row r="8" spans="1:256" x14ac:dyDescent="0.2">
      <c r="A8" s="11" t="s">
        <v>64</v>
      </c>
      <c r="B8" s="79"/>
      <c r="C8" s="25">
        <f>February!C8+B8</f>
        <v>0</v>
      </c>
      <c r="D8" s="81"/>
      <c r="E8" s="25">
        <f>February!E8+D8</f>
        <v>0</v>
      </c>
      <c r="F8" s="25"/>
      <c r="G8" s="25">
        <f>February!G8+F8</f>
        <v>0</v>
      </c>
    </row>
    <row r="9" spans="1:256" x14ac:dyDescent="0.2">
      <c r="A9" s="11" t="s">
        <v>7</v>
      </c>
      <c r="B9" s="79">
        <f>500+700+400+500+1050+1050+200+800+1050+550+500+1050+1050+1050+1050+2522+2315+2543+380+600+650+650+500+750+730+520</f>
        <v>23660</v>
      </c>
      <c r="C9" s="25">
        <f>February!C9+B9</f>
        <v>55311</v>
      </c>
      <c r="D9" s="81">
        <f>1</f>
        <v>1</v>
      </c>
      <c r="E9" s="25">
        <f>February!E9+D9</f>
        <v>1</v>
      </c>
      <c r="F9" s="25"/>
      <c r="G9" s="25">
        <f>February!G9+F9</f>
        <v>0</v>
      </c>
    </row>
    <row r="10" spans="1:256" x14ac:dyDescent="0.2">
      <c r="A10" s="11" t="s">
        <v>8</v>
      </c>
      <c r="B10" s="79"/>
      <c r="C10" s="25">
        <f>February!C10+B10</f>
        <v>0</v>
      </c>
      <c r="D10" s="81">
        <f>1</f>
        <v>1</v>
      </c>
      <c r="E10" s="25">
        <f>February!E10+D10</f>
        <v>1</v>
      </c>
      <c r="F10" s="25"/>
      <c r="G10" s="25">
        <f>February!G10+F10</f>
        <v>0</v>
      </c>
    </row>
    <row r="11" spans="1:256" x14ac:dyDescent="0.2">
      <c r="A11" s="92" t="s">
        <v>52</v>
      </c>
      <c r="B11" s="79">
        <v>287724</v>
      </c>
      <c r="C11" s="25">
        <f>February!C11+B11</f>
        <v>810274</v>
      </c>
      <c r="D11" s="81">
        <v>1119</v>
      </c>
      <c r="E11" s="25">
        <f>February!E11+D11</f>
        <v>2773</v>
      </c>
      <c r="F11" s="25">
        <v>10750</v>
      </c>
      <c r="G11" s="25">
        <f>February!G11+F11</f>
        <v>38461</v>
      </c>
    </row>
    <row r="12" spans="1:256" x14ac:dyDescent="0.2">
      <c r="A12" s="11" t="s">
        <v>9</v>
      </c>
      <c r="B12" s="79">
        <f>1000+1200+1300+1100+1200+1300+1200+500+1400+1250+1150+1150+1300+1250+1200+1400+1250+1100+1100+1200+1300+1100+1100+1200+1150+1150+1250+1100+1300+1200+1100+1100+1200+1684+2400+1964+436+2200+2100+2500+2500+44458</f>
        <v>99042</v>
      </c>
      <c r="C12" s="25">
        <f>February!C12+B12</f>
        <v>396074</v>
      </c>
      <c r="D12" s="81"/>
      <c r="E12" s="25">
        <f>February!E12+D12</f>
        <v>350</v>
      </c>
      <c r="F12" s="25"/>
      <c r="G12" s="25">
        <f>February!G12+F12</f>
        <v>0</v>
      </c>
    </row>
    <row r="13" spans="1:256" x14ac:dyDescent="0.2">
      <c r="A13" s="11" t="s">
        <v>10</v>
      </c>
      <c r="B13" s="79"/>
      <c r="C13" s="25">
        <f>February!C13+B13</f>
        <v>0</v>
      </c>
      <c r="D13" s="81"/>
      <c r="E13" s="25">
        <f>February!E13+D13</f>
        <v>0</v>
      </c>
      <c r="F13" s="25"/>
      <c r="G13" s="25">
        <f>February!G13+F13</f>
        <v>0</v>
      </c>
    </row>
    <row r="14" spans="1:256" x14ac:dyDescent="0.2">
      <c r="A14" s="11" t="s">
        <v>11</v>
      </c>
      <c r="B14" s="79"/>
      <c r="C14" s="25">
        <f>February!C14+B14</f>
        <v>0</v>
      </c>
      <c r="D14" s="81"/>
      <c r="E14" s="25">
        <f>February!E14+D14</f>
        <v>0</v>
      </c>
      <c r="F14" s="25"/>
      <c r="G14" s="25">
        <f>February!G14+F14</f>
        <v>0</v>
      </c>
    </row>
    <row r="15" spans="1:256" x14ac:dyDescent="0.2">
      <c r="A15" s="11" t="s">
        <v>12</v>
      </c>
      <c r="B15" s="79"/>
      <c r="C15" s="25">
        <f>February!C15+B15</f>
        <v>0</v>
      </c>
      <c r="D15" s="81"/>
      <c r="E15" s="25">
        <f>February!E15+D15</f>
        <v>0</v>
      </c>
      <c r="F15" s="25"/>
      <c r="G15" s="25">
        <f>February!G15+F15</f>
        <v>0</v>
      </c>
    </row>
    <row r="16" spans="1:256" x14ac:dyDescent="0.2">
      <c r="A16" s="11" t="s">
        <v>13</v>
      </c>
      <c r="B16" s="79">
        <f>2250+45+400</f>
        <v>2695</v>
      </c>
      <c r="C16" s="25">
        <f>February!C16+B16</f>
        <v>11995</v>
      </c>
      <c r="D16" s="81"/>
      <c r="E16" s="25">
        <f>February!E16+D16</f>
        <v>0</v>
      </c>
      <c r="F16" s="25"/>
      <c r="G16" s="25">
        <f>February!G16+F16</f>
        <v>0</v>
      </c>
    </row>
    <row r="17" spans="1:7" x14ac:dyDescent="0.2">
      <c r="A17" s="11" t="s">
        <v>14</v>
      </c>
      <c r="B17" s="79"/>
      <c r="C17" s="25">
        <f>February!C17+B17</f>
        <v>0</v>
      </c>
      <c r="D17" s="81"/>
      <c r="E17" s="25">
        <f>February!E17+D17</f>
        <v>0</v>
      </c>
      <c r="F17" s="25"/>
      <c r="G17" s="25">
        <f>February!G17+F17</f>
        <v>0</v>
      </c>
    </row>
    <row r="18" spans="1:7" x14ac:dyDescent="0.2">
      <c r="A18" s="11" t="s">
        <v>15</v>
      </c>
      <c r="B18" s="79">
        <f>529+613+613+614+657+1314+1225+1225+680+975+520+657+628+697+570+509+749+1200+1100+1200+1509+1075+1075+1075+1075+1700+767+707+1560+375+370+593+593+593+593+700+700+962+593+1189+593+1000+1000+650+1100+652+1666+674+840+1060+1060+1060+1060+1060+1418+1000+1250+988+1062+950+1450+1000+650+650+100+1800+250+793+330+200+1550+1700+366+623+861+1464+1350+593+621+598+175+650+525+525+606+1060+1040+1040+592+700+1226+1224+655+1010+625+1250+330+600+300+282241</f>
        <v>367545</v>
      </c>
      <c r="C18" s="25">
        <f>February!C18+B18</f>
        <v>954355</v>
      </c>
      <c r="D18" s="81">
        <f>170+170+4+15+45+45+22+30+80+35+4+2576</f>
        <v>3196</v>
      </c>
      <c r="E18" s="25">
        <f>February!E18+D18</f>
        <v>5485</v>
      </c>
      <c r="F18" s="25"/>
      <c r="G18" s="25">
        <f>February!G18+F18</f>
        <v>0</v>
      </c>
    </row>
    <row r="19" spans="1:7" x14ac:dyDescent="0.2">
      <c r="A19" s="11" t="s">
        <v>16</v>
      </c>
      <c r="B19" s="79">
        <f>1+8+8735</f>
        <v>8744</v>
      </c>
      <c r="C19" s="25">
        <f>February!C19+B19</f>
        <v>35016</v>
      </c>
      <c r="D19" s="81">
        <f>50+1</f>
        <v>51</v>
      </c>
      <c r="E19" s="25">
        <f>February!E19+D19</f>
        <v>514</v>
      </c>
      <c r="F19" s="25"/>
      <c r="G19" s="25">
        <f>February!G19+F19</f>
        <v>0</v>
      </c>
    </row>
    <row r="20" spans="1:7" x14ac:dyDescent="0.2">
      <c r="A20" s="11" t="s">
        <v>17</v>
      </c>
      <c r="B20" s="79">
        <f>1400+1500+1400+800+800+1500+2000+192+5261</f>
        <v>14853</v>
      </c>
      <c r="C20" s="25">
        <f>February!C20+B20</f>
        <v>58601</v>
      </c>
      <c r="D20" s="81">
        <f>2+8+4+13+1+30</f>
        <v>58</v>
      </c>
      <c r="E20" s="25">
        <f>February!E20+D20</f>
        <v>90</v>
      </c>
      <c r="F20" s="25"/>
      <c r="G20" s="25">
        <f>February!G20+F20</f>
        <v>0</v>
      </c>
    </row>
    <row r="21" spans="1:7" x14ac:dyDescent="0.2">
      <c r="A21" s="11" t="s">
        <v>18</v>
      </c>
      <c r="B21" s="79"/>
      <c r="C21" s="25">
        <f>February!C21+B21</f>
        <v>28</v>
      </c>
      <c r="D21" s="81">
        <v>38</v>
      </c>
      <c r="E21" s="25">
        <f>February!E21+D21</f>
        <v>50</v>
      </c>
      <c r="F21" s="25"/>
      <c r="G21" s="25">
        <f>February!G21+F21</f>
        <v>0</v>
      </c>
    </row>
    <row r="22" spans="1:7" x14ac:dyDescent="0.2">
      <c r="A22" s="11" t="s">
        <v>19</v>
      </c>
      <c r="B22" s="79"/>
      <c r="C22" s="25">
        <f>February!C22+B22</f>
        <v>0</v>
      </c>
      <c r="D22" s="81"/>
      <c r="E22" s="25">
        <f>February!E22+D22</f>
        <v>0</v>
      </c>
      <c r="F22" s="25"/>
      <c r="G22" s="25">
        <f>February!G22+F22</f>
        <v>0</v>
      </c>
    </row>
    <row r="23" spans="1:7" x14ac:dyDescent="0.2">
      <c r="A23" s="11" t="s">
        <v>20</v>
      </c>
      <c r="B23" s="79"/>
      <c r="C23" s="25">
        <f>February!C23+B23</f>
        <v>0</v>
      </c>
      <c r="D23" s="81"/>
      <c r="E23" s="25">
        <f>February!E23+D23</f>
        <v>0</v>
      </c>
      <c r="F23" s="25"/>
      <c r="G23" s="25">
        <f>February!G23+F23</f>
        <v>0</v>
      </c>
    </row>
    <row r="24" spans="1:7" x14ac:dyDescent="0.2">
      <c r="A24" s="11" t="s">
        <v>21</v>
      </c>
      <c r="B24" s="79"/>
      <c r="C24" s="25">
        <f>February!C24+B24</f>
        <v>0</v>
      </c>
      <c r="D24" s="81"/>
      <c r="E24" s="25">
        <f>February!E24+D24</f>
        <v>0</v>
      </c>
      <c r="F24" s="25"/>
      <c r="G24" s="25">
        <f>February!G24+F24</f>
        <v>0</v>
      </c>
    </row>
    <row r="25" spans="1:7" x14ac:dyDescent="0.2">
      <c r="A25" s="11" t="s">
        <v>22</v>
      </c>
      <c r="B25" s="79"/>
      <c r="C25" s="25">
        <f>February!C25+B25</f>
        <v>0</v>
      </c>
      <c r="D25" s="81"/>
      <c r="E25" s="25">
        <f>February!E25+D25</f>
        <v>0</v>
      </c>
      <c r="F25" s="25"/>
      <c r="G25" s="25">
        <f>February!G25+F25</f>
        <v>0</v>
      </c>
    </row>
    <row r="26" spans="1:7" x14ac:dyDescent="0.2">
      <c r="A26" s="11" t="s">
        <v>23</v>
      </c>
      <c r="B26" s="79"/>
      <c r="C26" s="25">
        <f>February!C26+B26</f>
        <v>464</v>
      </c>
      <c r="D26" s="81">
        <f>5+2+89+3025</f>
        <v>3121</v>
      </c>
      <c r="E26" s="25">
        <f>February!E26+D26</f>
        <v>3624</v>
      </c>
      <c r="F26" s="25"/>
      <c r="G26" s="25">
        <f>February!G26+F26</f>
        <v>0</v>
      </c>
    </row>
    <row r="27" spans="1:7" x14ac:dyDescent="0.2">
      <c r="A27" s="11" t="s">
        <v>24</v>
      </c>
      <c r="B27" s="79">
        <f>122+400+530+170+340+240+240+400+2056+650+150+525+200+335+334+480+480+161+266+210+230+320+270+2180+1028+2056+1028+1028+2056+1028+212+1700+2400+850+850+850+850+2200+390+335+1030+1050+180+2200+2100+214+2000+2000+230+240+550+618+550+583+27+80+180+38+590+160+165+630+300+631+380+1270+2615+2623+165+250+330+67+556+260+2028+2028+325+260+350+240+2060+2750+2040+2000+250+1000+648+20+500+500+108002</f>
        <v>180013</v>
      </c>
      <c r="C27" s="25">
        <f>February!C27+B27</f>
        <v>538924</v>
      </c>
      <c r="D27" s="81">
        <f>212+320+117+150+1208</f>
        <v>2007</v>
      </c>
      <c r="E27" s="25">
        <f>February!E27+D27</f>
        <v>6398</v>
      </c>
      <c r="F27" s="25"/>
      <c r="G27" s="25">
        <f>February!G27+F27</f>
        <v>0</v>
      </c>
    </row>
    <row r="28" spans="1:7" x14ac:dyDescent="0.2">
      <c r="A28" s="11" t="s">
        <v>25</v>
      </c>
      <c r="B28" s="79">
        <f>350+50+1544+771+1224+850+1290+1226+1800+330+600+1850+1200+600+600+1400+3736+1450+700+1800+270+1250+2200+630+1385+1354+676+640+1100+1184+1186+220+0.46875</f>
        <v>35466.46875</v>
      </c>
      <c r="C28" s="25">
        <f>February!C28+B28</f>
        <v>118551.46875</v>
      </c>
      <c r="D28" s="81"/>
      <c r="E28" s="25">
        <f>February!E28+D28</f>
        <v>0</v>
      </c>
      <c r="F28" s="25"/>
      <c r="G28" s="25">
        <f>February!G28+F28</f>
        <v>0</v>
      </c>
    </row>
    <row r="29" spans="1:7" x14ac:dyDescent="0.2">
      <c r="A29" s="11" t="s">
        <v>26</v>
      </c>
      <c r="B29" s="79">
        <f>300+850+1000+334+3565+2310+1900+2000+1115+1385+612+1425+850+800+1364+789+15+900+1185+695+563+567+620+1650+1000+1650+2200+2275+1300+1920+1280+1000+1840+930+4+1415+1020+1600+4600+725+725+725+900+365+2+1000+1740+1666+2485+1653+700+2095+1835+1758+2050+620+741+742+2523+1150+1100+1100+1100+1250+1250+700+300+199401</f>
        <v>283229</v>
      </c>
      <c r="C29" s="25">
        <f>February!C29+B29</f>
        <v>859105</v>
      </c>
      <c r="D29" s="81">
        <f>40+8+9+9+2</f>
        <v>68</v>
      </c>
      <c r="E29" s="25">
        <f>February!E29+D29</f>
        <v>151</v>
      </c>
      <c r="F29" s="25">
        <f>4</f>
        <v>4</v>
      </c>
      <c r="G29" s="25">
        <f>February!G29+F29</f>
        <v>25</v>
      </c>
    </row>
    <row r="30" spans="1:7" x14ac:dyDescent="0.2">
      <c r="A30" s="11" t="s">
        <v>27</v>
      </c>
      <c r="B30" s="79">
        <f>1374+1150+1353+1100</f>
        <v>4977</v>
      </c>
      <c r="C30" s="25">
        <f>February!C30+B30</f>
        <v>17945</v>
      </c>
      <c r="D30" s="81"/>
      <c r="E30" s="25">
        <f>February!E30+D30</f>
        <v>0</v>
      </c>
      <c r="F30" s="25"/>
      <c r="G30" s="25">
        <f>February!G30+F30</f>
        <v>0</v>
      </c>
    </row>
    <row r="31" spans="1:7" x14ac:dyDescent="0.2">
      <c r="A31" s="11" t="s">
        <v>28</v>
      </c>
      <c r="B31" s="79">
        <f>1250+1250+110+5+240+1370+800+180+600+1370+625+600+200+1300+650+650+650+1100+600+600+600+600+900+1300+600+1300+1000+400+600+350+1300+1250+260+500+2300+300+1300+1490+1490+1000+800+400+465+1490+1250+430+600+525+24+350+1300+700+350+1250+1490+200+106079</f>
        <v>150693</v>
      </c>
      <c r="C31" s="25">
        <f>February!C31+B31</f>
        <v>442489</v>
      </c>
      <c r="D31" s="81">
        <f>140+625+6+180+33+5+240+41+130+120+405+16+132+50+200+18+169+40+45+11</f>
        <v>2606</v>
      </c>
      <c r="E31" s="25">
        <f>February!E31+D31</f>
        <v>8979</v>
      </c>
      <c r="F31" s="25"/>
      <c r="G31" s="25">
        <f>February!G31+F31</f>
        <v>0</v>
      </c>
    </row>
    <row r="32" spans="1:7" x14ac:dyDescent="0.2">
      <c r="A32" s="11" t="s">
        <v>29</v>
      </c>
      <c r="B32" s="79"/>
      <c r="C32" s="25">
        <f>February!C32+B32</f>
        <v>0</v>
      </c>
      <c r="D32" s="81"/>
      <c r="E32" s="25">
        <f>February!E32+D32</f>
        <v>0</v>
      </c>
      <c r="F32" s="25"/>
      <c r="G32" s="25">
        <f>February!G32+F32</f>
        <v>0</v>
      </c>
    </row>
    <row r="33" spans="1:7" x14ac:dyDescent="0.2">
      <c r="A33" s="11" t="s">
        <v>30</v>
      </c>
      <c r="B33" s="79"/>
      <c r="C33" s="25">
        <f>February!C33+B33</f>
        <v>0</v>
      </c>
      <c r="D33" s="81"/>
      <c r="E33" s="25">
        <f>February!E33+D33</f>
        <v>0</v>
      </c>
      <c r="F33" s="25"/>
      <c r="G33" s="25">
        <f>February!G33+F33</f>
        <v>0</v>
      </c>
    </row>
    <row r="34" spans="1:7" x14ac:dyDescent="0.2">
      <c r="A34" s="11" t="s">
        <v>31</v>
      </c>
      <c r="B34" s="79"/>
      <c r="C34" s="25">
        <f>February!C34+B34</f>
        <v>0</v>
      </c>
      <c r="D34" s="81"/>
      <c r="E34" s="25">
        <f>February!E34+D34</f>
        <v>0</v>
      </c>
      <c r="F34" s="25"/>
      <c r="G34" s="25">
        <f>February!G34+F34</f>
        <v>0</v>
      </c>
    </row>
    <row r="35" spans="1:7" x14ac:dyDescent="0.2">
      <c r="A35" s="11" t="s">
        <v>32</v>
      </c>
      <c r="B35" s="79"/>
      <c r="C35" s="25">
        <f>February!C35+B35</f>
        <v>0</v>
      </c>
      <c r="D35" s="81"/>
      <c r="E35" s="25">
        <f>February!E35+D35</f>
        <v>0</v>
      </c>
      <c r="F35" s="25"/>
      <c r="G35" s="25">
        <f>February!G35+F35</f>
        <v>0</v>
      </c>
    </row>
    <row r="36" spans="1:7" x14ac:dyDescent="0.2">
      <c r="A36" s="11" t="s">
        <v>33</v>
      </c>
      <c r="B36" s="79"/>
      <c r="C36" s="25">
        <f>February!C36+B36</f>
        <v>0</v>
      </c>
      <c r="D36" s="81"/>
      <c r="E36" s="25">
        <f>February!E36+D36</f>
        <v>0</v>
      </c>
      <c r="F36" s="25"/>
      <c r="G36" s="25">
        <f>February!G36+F36</f>
        <v>0</v>
      </c>
    </row>
    <row r="37" spans="1:7" x14ac:dyDescent="0.2">
      <c r="A37" s="11" t="s">
        <v>34</v>
      </c>
      <c r="B37" s="79">
        <f>800+800+1650+1600+135859</f>
        <v>140709</v>
      </c>
      <c r="C37" s="25">
        <f>February!C37+B37</f>
        <v>414987</v>
      </c>
      <c r="D37" s="81"/>
      <c r="E37" s="25">
        <f>February!E37+D37</f>
        <v>0</v>
      </c>
      <c r="F37" s="25"/>
      <c r="G37" s="25">
        <f>February!G37+F37</f>
        <v>0</v>
      </c>
    </row>
    <row r="38" spans="1:7" x14ac:dyDescent="0.2">
      <c r="A38" s="11" t="s">
        <v>35</v>
      </c>
      <c r="B38" s="79">
        <f>2450+1200+1200+2500+400+400+6600+1200+3300+1300+2475+2450+2475+2500+2500+2500+7600</f>
        <v>43050</v>
      </c>
      <c r="C38" s="25">
        <f>February!C38+B38</f>
        <v>116995</v>
      </c>
      <c r="D38" s="81">
        <f>140+50+150+190+210</f>
        <v>740</v>
      </c>
      <c r="E38" s="25">
        <f>February!E38+D38</f>
        <v>1855</v>
      </c>
      <c r="F38" s="25"/>
      <c r="G38" s="25">
        <f>February!G38+F38</f>
        <v>0</v>
      </c>
    </row>
    <row r="39" spans="1:7" x14ac:dyDescent="0.2">
      <c r="A39" s="11" t="s">
        <v>36</v>
      </c>
      <c r="B39" s="79">
        <f>1100+15107</f>
        <v>16207</v>
      </c>
      <c r="C39" s="25">
        <f>February!C39+B39</f>
        <v>49489</v>
      </c>
      <c r="D39" s="81">
        <f>12</f>
        <v>12</v>
      </c>
      <c r="E39" s="25">
        <f>February!E39+D39</f>
        <v>77</v>
      </c>
      <c r="F39" s="25"/>
      <c r="G39" s="25">
        <f>February!G39+F39</f>
        <v>0</v>
      </c>
    </row>
    <row r="40" spans="1:7" x14ac:dyDescent="0.2">
      <c r="A40" s="11" t="s">
        <v>37</v>
      </c>
      <c r="B40" s="79">
        <f>2160+1780+2100+2120+2160+188+170+2160+1020+2660+1020+2100+2160+1020+200+2050+1020+520+304+360+270+225+510+525+450+500+220+480+300+425+230+240+220959</f>
        <v>252606</v>
      </c>
      <c r="C40" s="25">
        <f>February!C40+B40</f>
        <v>706473</v>
      </c>
      <c r="D40" s="81"/>
      <c r="E40" s="25">
        <f>February!E40+D40</f>
        <v>0</v>
      </c>
      <c r="F40" s="25"/>
      <c r="G40" s="25">
        <f>February!G40+F40</f>
        <v>0</v>
      </c>
    </row>
    <row r="41" spans="1:7" x14ac:dyDescent="0.2">
      <c r="A41" s="11" t="s">
        <v>38</v>
      </c>
      <c r="B41" s="79"/>
      <c r="C41" s="25">
        <f>February!C41+B41</f>
        <v>0</v>
      </c>
      <c r="D41" s="81"/>
      <c r="E41" s="25">
        <f>February!E41+D41</f>
        <v>0</v>
      </c>
      <c r="F41" s="25"/>
      <c r="G41" s="25">
        <f>February!G41+F41</f>
        <v>0</v>
      </c>
    </row>
    <row r="42" spans="1:7" x14ac:dyDescent="0.2">
      <c r="A42" s="11" t="s">
        <v>39</v>
      </c>
      <c r="B42" s="79">
        <f>667+667+667</f>
        <v>2001</v>
      </c>
      <c r="C42" s="25">
        <f>February!C42+B42</f>
        <v>9661</v>
      </c>
      <c r="D42" s="81">
        <f>300+300+868</f>
        <v>1468</v>
      </c>
      <c r="E42" s="25">
        <f>February!E42+D42</f>
        <v>1818</v>
      </c>
      <c r="F42" s="25"/>
      <c r="G42" s="25">
        <f>February!G42+F42</f>
        <v>0</v>
      </c>
    </row>
    <row r="43" spans="1:7" x14ac:dyDescent="0.2">
      <c r="A43" s="11" t="s">
        <v>40</v>
      </c>
      <c r="B43" s="79"/>
      <c r="C43" s="25">
        <f>February!C43+B43</f>
        <v>0</v>
      </c>
      <c r="D43" s="81"/>
      <c r="E43" s="25">
        <f>February!E43+D43</f>
        <v>0</v>
      </c>
      <c r="F43" s="25"/>
      <c r="G43" s="25">
        <f>February!G43+F43</f>
        <v>0</v>
      </c>
    </row>
    <row r="44" spans="1:7" x14ac:dyDescent="0.2">
      <c r="A44" s="11" t="s">
        <v>41</v>
      </c>
      <c r="B44" s="79"/>
      <c r="C44" s="25">
        <f>February!C44+B44</f>
        <v>0</v>
      </c>
      <c r="D44" s="81"/>
      <c r="E44" s="25">
        <f>February!E44+D44</f>
        <v>0</v>
      </c>
      <c r="F44" s="25"/>
      <c r="G44" s="25">
        <f>February!G44+F44</f>
        <v>0</v>
      </c>
    </row>
    <row r="45" spans="1:7" x14ac:dyDescent="0.2">
      <c r="A45" s="11" t="s">
        <v>42</v>
      </c>
      <c r="B45" s="79">
        <f>1300+614+623+592+548+630+630+630+630+630+630+630+300+300+265+640+640+514+1542+1542+2500+2500+1300+27526</f>
        <v>47656</v>
      </c>
      <c r="C45" s="25">
        <f>February!C45+B45</f>
        <v>134308</v>
      </c>
      <c r="D45" s="81">
        <v>1091</v>
      </c>
      <c r="E45" s="25">
        <f>February!E45+D45</f>
        <v>3836</v>
      </c>
      <c r="F45" s="25"/>
      <c r="G45" s="25">
        <f>February!G45+F45</f>
        <v>0</v>
      </c>
    </row>
    <row r="46" spans="1:7" x14ac:dyDescent="0.2">
      <c r="A46" s="11" t="s">
        <v>43</v>
      </c>
      <c r="B46" s="79"/>
      <c r="C46" s="25">
        <f>February!C46+B46</f>
        <v>0</v>
      </c>
      <c r="D46" s="81"/>
      <c r="E46" s="25">
        <f>February!E46+D46</f>
        <v>0</v>
      </c>
      <c r="F46" s="25"/>
      <c r="G46" s="25">
        <f>February!G46+F46</f>
        <v>0</v>
      </c>
    </row>
    <row r="47" spans="1:7" x14ac:dyDescent="0.2">
      <c r="A47" s="11" t="s">
        <v>44</v>
      </c>
      <c r="B47" s="79">
        <v>44908</v>
      </c>
      <c r="C47" s="25">
        <f>February!C47+B47</f>
        <v>111441</v>
      </c>
      <c r="D47" s="81"/>
      <c r="E47" s="25">
        <f>February!E47+D47</f>
        <v>4</v>
      </c>
      <c r="F47" s="25"/>
      <c r="G47" s="25">
        <f>February!G47+F47</f>
        <v>0</v>
      </c>
    </row>
    <row r="48" spans="1:7" x14ac:dyDescent="0.2">
      <c r="A48" s="11" t="s">
        <v>45</v>
      </c>
      <c r="B48" s="79">
        <v>36240</v>
      </c>
      <c r="C48" s="25">
        <f>February!C48+B48</f>
        <v>107472</v>
      </c>
      <c r="D48" s="81"/>
      <c r="E48" s="25">
        <f>February!E48+D48</f>
        <v>0</v>
      </c>
      <c r="F48" s="25"/>
      <c r="G48" s="25">
        <f>February!G48+F48</f>
        <v>0</v>
      </c>
    </row>
    <row r="49" spans="1:256" x14ac:dyDescent="0.2">
      <c r="A49" s="11" t="s">
        <v>46</v>
      </c>
      <c r="B49" s="79"/>
      <c r="C49" s="25">
        <f>February!C49+B49</f>
        <v>0</v>
      </c>
      <c r="D49" s="81"/>
      <c r="E49" s="25">
        <f>February!E49+D49</f>
        <v>0</v>
      </c>
      <c r="F49" s="25"/>
      <c r="G49" s="25">
        <f>February!G49+F49</f>
        <v>0</v>
      </c>
    </row>
    <row r="50" spans="1:256" x14ac:dyDescent="0.2">
      <c r="A50" s="11" t="s">
        <v>47</v>
      </c>
      <c r="B50" s="79"/>
      <c r="C50" s="25">
        <f>February!C50+B50</f>
        <v>0</v>
      </c>
      <c r="D50" s="81"/>
      <c r="E50" s="25">
        <f>February!E50+D50</f>
        <v>0</v>
      </c>
      <c r="F50" s="25"/>
      <c r="G50" s="25">
        <f>February!G50+F50</f>
        <v>0</v>
      </c>
    </row>
    <row r="51" spans="1:256" x14ac:dyDescent="0.2">
      <c r="A51" s="11" t="s">
        <v>48</v>
      </c>
      <c r="B51" s="79"/>
      <c r="C51" s="25">
        <f>February!C51+B51</f>
        <v>0</v>
      </c>
      <c r="D51" s="81"/>
      <c r="E51" s="25">
        <f>February!E51+D51</f>
        <v>0</v>
      </c>
      <c r="F51" s="25"/>
      <c r="G51" s="25">
        <f>February!G51+F51</f>
        <v>0</v>
      </c>
    </row>
    <row r="52" spans="1:256" x14ac:dyDescent="0.2">
      <c r="A52" s="11" t="s">
        <v>49</v>
      </c>
      <c r="B52" s="79"/>
      <c r="C52" s="25">
        <f>February!C52+B52</f>
        <v>0</v>
      </c>
      <c r="D52" s="81"/>
      <c r="E52" s="25">
        <f>February!E52+D52</f>
        <v>0</v>
      </c>
      <c r="F52" s="25"/>
      <c r="G52" s="25">
        <f>February!G52+F52</f>
        <v>0</v>
      </c>
    </row>
    <row r="53" spans="1:256" x14ac:dyDescent="0.2">
      <c r="A53" s="11" t="s">
        <v>50</v>
      </c>
      <c r="B53" s="79">
        <f>200+200+270+300+830+370+600+1150+2500+900+1150+2400+90+1000+2200+400+60+106+6+450+520+250+230+315+200+225+115+150+800+900+850+400+450+550+600+1150+1000+900+850+760</f>
        <v>26397</v>
      </c>
      <c r="C53" s="25">
        <f>February!C53+B53</f>
        <v>43615</v>
      </c>
      <c r="D53" s="81">
        <f>1+26+770</f>
        <v>797</v>
      </c>
      <c r="E53" s="25">
        <f>February!E53+D53</f>
        <v>2546</v>
      </c>
      <c r="F53" s="25"/>
      <c r="G53" s="25">
        <f>February!G53+F53</f>
        <v>0</v>
      </c>
    </row>
    <row r="54" spans="1:256" ht="15.75" thickBot="1" x14ac:dyDescent="0.25">
      <c r="A54" s="11" t="s">
        <v>51</v>
      </c>
      <c r="B54" s="79">
        <f>1860+1029+1300+1300+1300+1300+1060+2360+1880+1760+2360+1923+477+1755+2200+1020+1610+170+2400+1300</f>
        <v>30364</v>
      </c>
      <c r="C54" s="25">
        <f>February!C54+B54</f>
        <v>93374</v>
      </c>
      <c r="D54" s="81"/>
      <c r="E54" s="25">
        <f>February!E54+D54</f>
        <v>0</v>
      </c>
      <c r="F54" s="25"/>
      <c r="G54" s="25">
        <f>February!G54+F54</f>
        <v>0</v>
      </c>
    </row>
    <row r="55" spans="1:256" ht="26.1" customHeight="1" thickBot="1" x14ac:dyDescent="0.25">
      <c r="A55" s="14" t="s">
        <v>53</v>
      </c>
      <c r="B55" s="57">
        <f>SUM(B7:B54)</f>
        <v>2105202.46875</v>
      </c>
      <c r="C55" s="57">
        <f>February!C55+B55</f>
        <v>6110904.46875</v>
      </c>
      <c r="D55" s="57">
        <f>SUM(D7:D54)</f>
        <v>16374</v>
      </c>
      <c r="E55" s="57">
        <f>February!E55+D55</f>
        <v>38552</v>
      </c>
      <c r="F55" s="15">
        <f>SUM(F7:F54)</f>
        <v>10754</v>
      </c>
      <c r="G55" s="15">
        <f>February!G55+F55</f>
        <v>38486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48"/>
      <c r="C56" s="48"/>
      <c r="D56" s="48"/>
      <c r="E56" s="48"/>
    </row>
    <row r="57" spans="1:256" ht="16.5" thickBot="1" x14ac:dyDescent="0.3">
      <c r="A57" s="19" t="s">
        <v>54</v>
      </c>
      <c r="B57" s="48"/>
      <c r="C57" s="58" t="s">
        <v>4</v>
      </c>
      <c r="D57" s="59" t="s">
        <v>5</v>
      </c>
      <c r="E57" s="48"/>
    </row>
    <row r="58" spans="1:256" x14ac:dyDescent="0.2">
      <c r="A58" s="1" t="s">
        <v>55</v>
      </c>
      <c r="B58" s="54"/>
      <c r="C58" s="26"/>
      <c r="D58" s="55">
        <f>February!D58+C58</f>
        <v>0</v>
      </c>
      <c r="E58" s="48"/>
    </row>
    <row r="59" spans="1:256" x14ac:dyDescent="0.2">
      <c r="A59" s="1" t="s">
        <v>56</v>
      </c>
      <c r="B59" s="26"/>
      <c r="C59" s="26"/>
      <c r="D59" s="55">
        <f>February!D59+C59</f>
        <v>1540</v>
      </c>
      <c r="E59" s="49"/>
    </row>
    <row r="60" spans="1:256" x14ac:dyDescent="0.2">
      <c r="A60" s="1" t="s">
        <v>57</v>
      </c>
      <c r="B60" s="26"/>
      <c r="C60" s="26"/>
      <c r="D60" s="55">
        <f>February!D60+C60</f>
        <v>0</v>
      </c>
      <c r="E60" s="49"/>
    </row>
    <row r="61" spans="1:256" ht="15.75" x14ac:dyDescent="0.25">
      <c r="A61" s="1" t="s">
        <v>58</v>
      </c>
      <c r="B61" s="26"/>
      <c r="C61" s="56"/>
      <c r="D61" s="55">
        <f>February!D61+C61</f>
        <v>0</v>
      </c>
      <c r="E61" s="49"/>
    </row>
    <row r="62" spans="1:256" x14ac:dyDescent="0.2">
      <c r="A62" s="1" t="s">
        <v>59</v>
      </c>
      <c r="B62" s="26"/>
      <c r="C62" s="26">
        <f>160+70+85+100+190+90+90+99+250+50+25+90+200+85+100+170+85+250+180+325+93+230+36+110+60+90+225+165+325+70+80+375+85+560+150+350+85+270+85+360+70+470+175+280+135+110+45+280+175+150+55+150+140+70+175+240+675+250+150+175+130+55+70+60+140+175+60+175+55+150+300+220+160+330+22+135+12+28+50+160+160+300+150+250+190+120+120+170+160+250+150+700+450+55+175+200+60+250+250+200+140+300+250+200+140+55+100+175+180+89+30+50+18+106+8+32+8+16+8+30+230+12+15+96+175+100+8+240+160+200+60+250+300+175+70+140+60+100+160+150+175+55+150+70+150+160+175+55+150+4800</f>
        <v>27891</v>
      </c>
      <c r="D62" s="55">
        <f>February!D62+C62</f>
        <v>116696</v>
      </c>
      <c r="E62" s="49"/>
    </row>
    <row r="63" spans="1:256" x14ac:dyDescent="0.2">
      <c r="A63" s="1" t="s">
        <v>65</v>
      </c>
      <c r="B63" s="26"/>
      <c r="C63" s="26">
        <f>80+75+170+20+75+100+240+52+30+90+70+106+90+270+80+75+170+240+170+75+90+30+52+80+170+75+70+106+45+15+80+90+270+100+75+45+80+75+100+70+100+75+240+52+30+90+170+80+75+20+70+176+45+90+270+100+75+80+75+100+20+240+52+30+20+90+45+20+70+106+45+90+270+75+170+80+80+170+75+20+70+106+45+90+270+20+175+240+52+30+90+54+170+80+75+20+75+170+80+100+75+240+52+30+90+45+80+30+170+75+270+90+45+106+70+370+150+250+130+90+49+60+150+250+375+170+240+375+140+230+150+200+140+150+120+200+175+150+55+100+175+70+60+200+175+55+150+70+150+160+450+120+240+400+175+155+150+60+90+70+175+280+175+280+135+110+45+280+150+175+135+110+280+85+214+273+74+97+78+50+450+85+360+70+156+18+525+85+375+70+110+125+225+85+360+140+75+350+175+110+280+135+45+150+280+45+150</f>
        <v>27136</v>
      </c>
      <c r="D63" s="55">
        <f>February!D63+C63</f>
        <v>43860</v>
      </c>
      <c r="E63" s="49"/>
    </row>
    <row r="64" spans="1:256" x14ac:dyDescent="0.2">
      <c r="A64" s="1" t="s">
        <v>63</v>
      </c>
      <c r="B64" s="26"/>
      <c r="C64" s="26">
        <f>140+175+100+35+70+37+30+15+175+20+35+70+53+40+57+70+15+230+58+22+80+24+33+12+175+35+70+30+40+40+75+10+158+22+120+48+6+30+57+40+175+33+12+85+230+67+22+82+80+19+50+35+70+28+40+40+70+10+167+22+128+35+63+12+175+120+35+70+39+97+85+230+80+80+19+34+30+15+175+80+135+61+33+12+34+7+40+110+110+58+22+128+35+68+130+26+125+140+95+250+170+180+175+40+68+40+140+400+225+170+140+205+130+68+110+140+180+85+150+170+26+40+68+55+70+150+170+140+85+180+26+95+130+68+170+140+350+170+180+85+26+175+40+68+40+140+55+65+175+170+140+95+26+160+140+160+75+140+160+75+130+100+140+170+225+140+40+75+68+40+68+20+75+140+20+100+180+170+250+26+68+130+110+140+170+26+126+180+170+250+140+140+78+130+110+126+175+200+225+120+35+63+70+160+15+175+48+70+15+38+35+224+18+80+180+80+33+12+34+15+175+53+70+35+19+80+23+22+58+230+15+64+57+40+33+12+19+80+120+24+230+62+15+70+57+70+18+175+38+70+35+38+35+120+58+22+155+80</f>
        <v>23587</v>
      </c>
      <c r="D64" s="55">
        <f>February!D64+C64</f>
        <v>82916</v>
      </c>
      <c r="E64" s="49"/>
    </row>
    <row r="65" spans="1:5" x14ac:dyDescent="0.2">
      <c r="A65" s="1" t="s">
        <v>60</v>
      </c>
      <c r="B65" s="49"/>
      <c r="C65" s="26"/>
      <c r="D65" s="55">
        <f>February!D65+C65</f>
        <v>0</v>
      </c>
      <c r="E65" s="49"/>
    </row>
    <row r="66" spans="1:5" x14ac:dyDescent="0.2">
      <c r="A66" s="1" t="s">
        <v>61</v>
      </c>
      <c r="B66" s="49"/>
      <c r="C66" s="26">
        <f>150+178+85+148+110+80+100+150+130+178+150+100+278+150+1320+160+150+190+40+170+178+30+100+100+170+150+235</f>
        <v>4980</v>
      </c>
      <c r="D66" s="55">
        <f>February!D66+C66</f>
        <v>14366</v>
      </c>
      <c r="E66" s="49"/>
    </row>
    <row r="67" spans="1:5" x14ac:dyDescent="0.2">
      <c r="A67" s="1" t="s">
        <v>62</v>
      </c>
      <c r="B67" s="49"/>
      <c r="C67" s="26">
        <v>500</v>
      </c>
      <c r="D67" s="55">
        <f>February!D67+C67</f>
        <v>3550</v>
      </c>
      <c r="E67" s="49"/>
    </row>
    <row r="68" spans="1:5" x14ac:dyDescent="0.2">
      <c r="B68" s="49"/>
      <c r="C68" s="49"/>
      <c r="D68" s="49"/>
      <c r="E68" s="49"/>
    </row>
    <row r="69" spans="1:5" x14ac:dyDescent="0.2">
      <c r="B69" s="49"/>
      <c r="C69" s="49"/>
      <c r="D69" s="49"/>
      <c r="E69" s="49"/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  <ignoredErrors>
    <ignoredError sqref="C55 E5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5" zoomScaleNormal="75" workbookViewId="0">
      <pane ySplit="6" topLeftCell="A42" activePane="bottomLeft" state="frozen"/>
      <selection pane="bottomLeft" activeCell="B49" sqref="B49"/>
    </sheetView>
  </sheetViews>
  <sheetFormatPr defaultColWidth="11.77734375" defaultRowHeight="15" x14ac:dyDescent="0.2"/>
  <cols>
    <col min="1" max="1" width="16.77734375" style="1" customWidth="1"/>
    <col min="2" max="4" width="13.77734375" customWidth="1"/>
    <col min="5" max="5" width="12.77734375" customWidth="1"/>
    <col min="6" max="7" width="12.6640625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s="42" t="s">
        <v>69</v>
      </c>
      <c r="G2" s="41"/>
      <c r="I2" s="2"/>
    </row>
    <row r="3" spans="1:256" ht="15.75" customHeight="1" x14ac:dyDescent="0.25">
      <c r="F3" s="49" t="s">
        <v>79</v>
      </c>
      <c r="I3" s="2"/>
    </row>
    <row r="4" spans="1:256" ht="15" customHeight="1" thickBot="1" x14ac:dyDescent="0.3">
      <c r="E4" s="2"/>
      <c r="G4" s="39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2">
        <f>1000</f>
        <v>1000</v>
      </c>
      <c r="C7" s="12">
        <f>March!C7+B7</f>
        <v>24957</v>
      </c>
      <c r="D7" s="84"/>
      <c r="E7" s="12">
        <f>March!E7+D7</f>
        <v>0</v>
      </c>
      <c r="F7" s="12"/>
      <c r="G7" s="12">
        <f>March!G7+F7</f>
        <v>0</v>
      </c>
    </row>
    <row r="8" spans="1:256" x14ac:dyDescent="0.2">
      <c r="A8" s="11" t="s">
        <v>64</v>
      </c>
      <c r="B8" s="82"/>
      <c r="C8" s="12">
        <f>March!C8+B8</f>
        <v>0</v>
      </c>
      <c r="D8" s="84"/>
      <c r="E8" s="12">
        <f>March!E8+D8</f>
        <v>0</v>
      </c>
      <c r="F8" s="12"/>
      <c r="G8" s="12">
        <f>March!G8+F8</f>
        <v>0</v>
      </c>
    </row>
    <row r="9" spans="1:256" x14ac:dyDescent="0.2">
      <c r="A9" s="11" t="s">
        <v>7</v>
      </c>
      <c r="B9" s="82">
        <f>650+600+700+550+1100+400+700+1100+1100+1100+800+300+1100+1100+1100+1060+1060+550+700+550+700+25861</f>
        <v>42881</v>
      </c>
      <c r="C9" s="12">
        <f>March!C9+B9</f>
        <v>98192</v>
      </c>
      <c r="D9" s="84">
        <f>3</f>
        <v>3</v>
      </c>
      <c r="E9" s="12">
        <f>March!E9+D9</f>
        <v>4</v>
      </c>
      <c r="F9" s="12"/>
      <c r="G9" s="12">
        <f>March!G9+F9</f>
        <v>0</v>
      </c>
    </row>
    <row r="10" spans="1:256" x14ac:dyDescent="0.2">
      <c r="A10" s="11" t="s">
        <v>8</v>
      </c>
      <c r="B10" s="82"/>
      <c r="C10" s="12">
        <f>March!C10+B10</f>
        <v>0</v>
      </c>
      <c r="D10" s="84"/>
      <c r="E10" s="12">
        <f>March!E10+D10</f>
        <v>1</v>
      </c>
      <c r="F10" s="12"/>
      <c r="G10" s="12">
        <f>March!G10+F10</f>
        <v>0</v>
      </c>
    </row>
    <row r="11" spans="1:256" x14ac:dyDescent="0.2">
      <c r="A11" s="100" t="s">
        <v>52</v>
      </c>
      <c r="B11" s="82">
        <v>247013</v>
      </c>
      <c r="C11" s="12">
        <f>March!C11+B11</f>
        <v>1057287</v>
      </c>
      <c r="D11" s="84">
        <v>868</v>
      </c>
      <c r="E11" s="12">
        <f>March!E11+D11</f>
        <v>3641</v>
      </c>
      <c r="F11" s="38">
        <v>10647</v>
      </c>
      <c r="G11" s="12">
        <f>March!G11+F11</f>
        <v>49108</v>
      </c>
    </row>
    <row r="12" spans="1:256" x14ac:dyDescent="0.2">
      <c r="A12" s="11" t="s">
        <v>9</v>
      </c>
      <c r="B12" s="83">
        <f>1400+900+1150+1150+1100+850+300+650+450+1250+500+1050+300+1200+1100+300+1100+1050+500+500+400+1200+1300+350+800+1150+1200+1200+1100+2270+2400+1150+1150+1600+1050+1700+1500+2400+2090+260+2500+2200+2040+1900+550+21119</f>
        <v>73379</v>
      </c>
      <c r="C12" s="12">
        <f>March!C12+B12</f>
        <v>469453</v>
      </c>
      <c r="D12" s="84"/>
      <c r="E12" s="12">
        <f>March!E12+D12</f>
        <v>350</v>
      </c>
      <c r="F12" s="12"/>
      <c r="G12" s="12">
        <f>March!G12+F12</f>
        <v>0</v>
      </c>
    </row>
    <row r="13" spans="1:256" x14ac:dyDescent="0.2">
      <c r="A13" s="11" t="s">
        <v>10</v>
      </c>
      <c r="B13" s="82"/>
      <c r="C13" s="12">
        <f>March!C13+B13</f>
        <v>0</v>
      </c>
      <c r="D13" s="84"/>
      <c r="E13" s="12">
        <f>March!E13+D13</f>
        <v>0</v>
      </c>
      <c r="F13" s="12"/>
      <c r="G13" s="12">
        <f>March!G13+F13</f>
        <v>0</v>
      </c>
    </row>
    <row r="14" spans="1:256" x14ac:dyDescent="0.2">
      <c r="A14" s="11" t="s">
        <v>11</v>
      </c>
      <c r="B14" s="82"/>
      <c r="C14" s="12">
        <f>March!C14+B14</f>
        <v>0</v>
      </c>
      <c r="D14" s="84"/>
      <c r="E14" s="12">
        <f>March!E14+D14</f>
        <v>0</v>
      </c>
      <c r="F14" s="12"/>
      <c r="G14" s="12">
        <f>March!G14+F14</f>
        <v>0</v>
      </c>
    </row>
    <row r="15" spans="1:256" x14ac:dyDescent="0.2">
      <c r="A15" s="11" t="s">
        <v>12</v>
      </c>
      <c r="B15" s="82"/>
      <c r="C15" s="12">
        <f>March!C15+B15</f>
        <v>0</v>
      </c>
      <c r="D15" s="84"/>
      <c r="E15" s="12">
        <f>March!E15+D15</f>
        <v>0</v>
      </c>
      <c r="F15" s="12"/>
      <c r="G15" s="12">
        <f>March!G15+F15</f>
        <v>0</v>
      </c>
    </row>
    <row r="16" spans="1:256" x14ac:dyDescent="0.2">
      <c r="A16" s="11" t="s">
        <v>13</v>
      </c>
      <c r="B16" s="82">
        <f>1150+1150+2250+2250+1200</f>
        <v>8000</v>
      </c>
      <c r="C16" s="12">
        <f>March!C16+B16</f>
        <v>19995</v>
      </c>
      <c r="D16" s="84"/>
      <c r="E16" s="12">
        <f>March!E16+D16</f>
        <v>0</v>
      </c>
      <c r="F16" s="12"/>
      <c r="G16" s="12">
        <f>March!G16+F16</f>
        <v>0</v>
      </c>
    </row>
    <row r="17" spans="1:7" x14ac:dyDescent="0.2">
      <c r="A17" s="11" t="s">
        <v>14</v>
      </c>
      <c r="B17" s="82"/>
      <c r="C17" s="12">
        <f>March!C17+B17</f>
        <v>0</v>
      </c>
      <c r="D17" s="84"/>
      <c r="E17" s="12">
        <f>March!E17+D17</f>
        <v>0</v>
      </c>
      <c r="F17" s="12"/>
      <c r="G17" s="12">
        <f>March!G17+F17</f>
        <v>0</v>
      </c>
    </row>
    <row r="18" spans="1:7" x14ac:dyDescent="0.2">
      <c r="A18" s="11" t="s">
        <v>15</v>
      </c>
      <c r="B18" s="83">
        <f>1340+850+650+250+200+1350+736+1571+785+1200+788+450+1225+1060+1060+1060+1060+1060+1060+150+1463+1000+1000+2500+1100+2223+850+520+250+1350+815+1555+370+550+200+550+550+224+912+250+665+1771+1300+1250+625+624+1250+625+1450+1300+340+340+320+330+300+350+330+331+330+150+320+330+340+330+340+345+340+350+340+320+340+350+340+350+350+155+350+350+330+340+350+360+350+330+1350+900+1000+1050+1225+1100+1000+794+400+170+1300+760+760+604+611+644+636+760+1225+325+1000+1550+2050+1274+546+546+700+750+400+525+525+300+300+300+585+300+666+1500+920+1800+1500+1550+1550+883+1750+1350+1500+1000+1200+340+340+330+330+350+300+350+340+20+350+350+350+350+340+330+320+340+340+330+350+340+350+345+340+350+330+274167</f>
        <v>386224</v>
      </c>
      <c r="C18" s="12">
        <f>March!C18+B18</f>
        <v>1340579</v>
      </c>
      <c r="D18" s="85">
        <f>160+100+227+127+127+150+200+10+178+130+160+160+506+582</f>
        <v>2817</v>
      </c>
      <c r="E18" s="12">
        <f>March!E18+D18</f>
        <v>8302</v>
      </c>
      <c r="F18" s="12"/>
      <c r="G18" s="12">
        <f>March!G18+F18</f>
        <v>0</v>
      </c>
    </row>
    <row r="19" spans="1:7" x14ac:dyDescent="0.2">
      <c r="A19" s="11" t="s">
        <v>16</v>
      </c>
      <c r="B19" s="83">
        <f>240+1200+1100+10930</f>
        <v>13470</v>
      </c>
      <c r="C19" s="12">
        <f>March!C19+B19</f>
        <v>48486</v>
      </c>
      <c r="D19" s="85">
        <f>83+40+6+32+1+1+6</f>
        <v>169</v>
      </c>
      <c r="E19" s="12">
        <f>March!E19+D19</f>
        <v>683</v>
      </c>
      <c r="F19" s="12"/>
      <c r="G19" s="12">
        <f>March!G19+F19</f>
        <v>0</v>
      </c>
    </row>
    <row r="20" spans="1:7" x14ac:dyDescent="0.2">
      <c r="A20" s="11" t="s">
        <v>17</v>
      </c>
      <c r="B20" s="83">
        <f>800+675+525+1500+1600+800+800+260+4973</f>
        <v>11933</v>
      </c>
      <c r="C20" s="12">
        <f>March!C20+B20</f>
        <v>70534</v>
      </c>
      <c r="D20" s="85">
        <f>42+20+2+376</f>
        <v>440</v>
      </c>
      <c r="E20" s="12">
        <f>March!E20+D20</f>
        <v>530</v>
      </c>
      <c r="F20" s="12"/>
      <c r="G20" s="12">
        <f>March!G20+F20</f>
        <v>0</v>
      </c>
    </row>
    <row r="21" spans="1:7" x14ac:dyDescent="0.2">
      <c r="A21" s="11" t="s">
        <v>18</v>
      </c>
      <c r="B21" s="82"/>
      <c r="C21" s="12">
        <f>March!C21+B21</f>
        <v>28</v>
      </c>
      <c r="D21" s="85">
        <f>154+154</f>
        <v>308</v>
      </c>
      <c r="E21" s="12">
        <f>March!E21+D21</f>
        <v>358</v>
      </c>
      <c r="F21" s="12"/>
      <c r="G21" s="12">
        <f>March!G21+F21</f>
        <v>0</v>
      </c>
    </row>
    <row r="22" spans="1:7" x14ac:dyDescent="0.2">
      <c r="A22" s="11" t="s">
        <v>19</v>
      </c>
      <c r="B22" s="82"/>
      <c r="C22" s="12">
        <f>March!C22+B22</f>
        <v>0</v>
      </c>
      <c r="D22" s="84"/>
      <c r="E22" s="12">
        <f>March!E22+D22</f>
        <v>0</v>
      </c>
      <c r="F22" s="12"/>
      <c r="G22" s="12">
        <f>March!G22+F22</f>
        <v>0</v>
      </c>
    </row>
    <row r="23" spans="1:7" x14ac:dyDescent="0.2">
      <c r="A23" s="11" t="s">
        <v>20</v>
      </c>
      <c r="B23" s="82"/>
      <c r="C23" s="12">
        <f>March!C23+B23</f>
        <v>0</v>
      </c>
      <c r="D23" s="84"/>
      <c r="E23" s="12">
        <f>March!E23+D23</f>
        <v>0</v>
      </c>
      <c r="F23" s="12"/>
      <c r="G23" s="12">
        <f>March!G23+F23</f>
        <v>0</v>
      </c>
    </row>
    <row r="24" spans="1:7" x14ac:dyDescent="0.2">
      <c r="A24" s="11" t="s">
        <v>21</v>
      </c>
      <c r="B24" s="82"/>
      <c r="C24" s="12">
        <f>March!C24+B24</f>
        <v>0</v>
      </c>
      <c r="D24" s="84"/>
      <c r="E24" s="12">
        <f>March!E24+D24</f>
        <v>0</v>
      </c>
      <c r="F24" s="12"/>
      <c r="G24" s="12">
        <f>March!G24+F24</f>
        <v>0</v>
      </c>
    </row>
    <row r="25" spans="1:7" x14ac:dyDescent="0.2">
      <c r="A25" s="11" t="s">
        <v>22</v>
      </c>
      <c r="B25" s="82"/>
      <c r="C25" s="12">
        <f>March!C25+B25</f>
        <v>0</v>
      </c>
      <c r="D25" s="84"/>
      <c r="E25" s="12">
        <f>March!E25+D25</f>
        <v>0</v>
      </c>
      <c r="F25" s="12"/>
      <c r="G25" s="12">
        <f>March!G25+F25</f>
        <v>0</v>
      </c>
    </row>
    <row r="26" spans="1:7" x14ac:dyDescent="0.2">
      <c r="A26" s="11" t="s">
        <v>23</v>
      </c>
      <c r="B26" s="82">
        <f>1250</f>
        <v>1250</v>
      </c>
      <c r="C26" s="12">
        <f>March!C26+B26</f>
        <v>1714</v>
      </c>
      <c r="D26" s="84">
        <v>2005</v>
      </c>
      <c r="E26" s="12">
        <f>March!E26+D26</f>
        <v>5629</v>
      </c>
      <c r="F26" s="12"/>
      <c r="G26" s="12">
        <f>March!G26+F26</f>
        <v>0</v>
      </c>
    </row>
    <row r="27" spans="1:7" x14ac:dyDescent="0.2">
      <c r="A27" s="11" t="s">
        <v>24</v>
      </c>
      <c r="B27" s="83">
        <f>1050+200+650+473+473+1150+1150+250+200+275+275+200+285+250+620+660+127+630+1000+435+350+360+1000+2400+2000+4000+390+400+350+350+260+270+510+400+540+525+525+650+500+233+430+4200+4200+2000+213+400+305+510+157+316+210+190+122+950+2850+2400+2400+2300+650+206+850+175+390+400+200+158+270+525+221+525+510+430+340+229+106+112+390+430+400+187+2000+850+1010+1010+212+182+2034+2034+115+420+325+650+370+435+400+315+135+1050+1050+65+650+190+525+655+635+750+220+270+1300+215+1050+1050+27+634+675+28+320+1000+1000+220+2150+1290+860+390+510+1500+28+673+250+1012+900+73263</f>
        <v>167125</v>
      </c>
      <c r="C27" s="12">
        <f>March!C27+B27</f>
        <v>706049</v>
      </c>
      <c r="D27" s="85">
        <f>2+8+112+16+6+212+320+3+42+15+30+899</f>
        <v>1665</v>
      </c>
      <c r="E27" s="12">
        <f>March!E27+D27</f>
        <v>8063</v>
      </c>
      <c r="F27" s="12">
        <f>500+500+520+520+550</f>
        <v>2590</v>
      </c>
      <c r="G27" s="12">
        <f>March!G27+F27</f>
        <v>2590</v>
      </c>
    </row>
    <row r="28" spans="1:7" x14ac:dyDescent="0.2">
      <c r="A28" s="11" t="s">
        <v>25</v>
      </c>
      <c r="B28" s="82">
        <v>35075</v>
      </c>
      <c r="C28" s="12">
        <f>March!C28+B28</f>
        <v>153626.46875</v>
      </c>
      <c r="D28" s="84"/>
      <c r="E28" s="12">
        <f>March!E28+D28</f>
        <v>0</v>
      </c>
      <c r="F28" s="12"/>
      <c r="G28" s="12">
        <f>March!G28+F28</f>
        <v>0</v>
      </c>
    </row>
    <row r="29" spans="1:7" x14ac:dyDescent="0.2">
      <c r="A29" s="11" t="s">
        <v>26</v>
      </c>
      <c r="B29" s="83">
        <f>2070+1425+1430+974+550+550+380+1200+734+1470+735+550+1275+800+500+300+1625+1625+1800+2500+700+322+1425+2285+1140+4560+334+333+333+1350+1278+610+4078+174426</f>
        <v>215667</v>
      </c>
      <c r="C29" s="12">
        <f>March!C29+B29</f>
        <v>1074772</v>
      </c>
      <c r="D29" s="84">
        <f>12+2</f>
        <v>14</v>
      </c>
      <c r="E29" s="12">
        <f>March!E29+D29</f>
        <v>165</v>
      </c>
      <c r="F29" s="12">
        <f>4+1</f>
        <v>5</v>
      </c>
      <c r="G29" s="12">
        <f>March!G29+F29</f>
        <v>30</v>
      </c>
    </row>
    <row r="30" spans="1:7" x14ac:dyDescent="0.2">
      <c r="A30" s="11" t="s">
        <v>27</v>
      </c>
      <c r="B30" s="82">
        <f>800+1360+1100</f>
        <v>3260</v>
      </c>
      <c r="C30" s="12">
        <f>March!C30+B30</f>
        <v>21205</v>
      </c>
      <c r="D30" s="84"/>
      <c r="E30" s="12">
        <f>March!E30+D30</f>
        <v>0</v>
      </c>
      <c r="F30" s="12"/>
      <c r="G30" s="12">
        <f>March!G30+F30</f>
        <v>0</v>
      </c>
    </row>
    <row r="31" spans="1:7" x14ac:dyDescent="0.2">
      <c r="A31" s="11" t="s">
        <v>28</v>
      </c>
      <c r="B31" s="82">
        <f>8+8+8+600+1350+625+240+15+4+1490+470+1020+350+550+1490+1250+20+625+50+300+1500+2+600+600+1500+325+600+1500+650+650+1250+650+600+7+1250+180+1485+495+325+210+600+700+665+600+630+1300+1265+610+1300+640+1265+1200+620+1265+1300+550+1115+600+825+600+650+650+625+159626</f>
        <v>204053</v>
      </c>
      <c r="C31" s="12">
        <f>March!C31+B31</f>
        <v>646542</v>
      </c>
      <c r="D31" s="84">
        <f>110+16+8+6+18+600+240+2+21+200+44+22+3+1+3+115+125+149</f>
        <v>1683</v>
      </c>
      <c r="E31" s="12">
        <f>March!E31+D31</f>
        <v>10662</v>
      </c>
      <c r="F31" s="12"/>
      <c r="G31" s="12">
        <f>March!G31+F31</f>
        <v>0</v>
      </c>
    </row>
    <row r="32" spans="1:7" x14ac:dyDescent="0.2">
      <c r="A32" s="11" t="s">
        <v>29</v>
      </c>
      <c r="B32" s="82"/>
      <c r="C32" s="12">
        <f>March!C32+B32</f>
        <v>0</v>
      </c>
      <c r="D32" s="84"/>
      <c r="E32" s="12">
        <f>March!E32+D32</f>
        <v>0</v>
      </c>
      <c r="F32" s="12"/>
      <c r="G32" s="12">
        <f>March!G32+F32</f>
        <v>0</v>
      </c>
    </row>
    <row r="33" spans="1:7" x14ac:dyDescent="0.2">
      <c r="A33" s="11" t="s">
        <v>30</v>
      </c>
      <c r="B33" s="82"/>
      <c r="C33" s="12">
        <f>March!C33+B33</f>
        <v>0</v>
      </c>
      <c r="D33" s="84"/>
      <c r="E33" s="12">
        <f>March!E33+D33</f>
        <v>0</v>
      </c>
      <c r="F33" s="12"/>
      <c r="G33" s="12">
        <f>March!G33+F33</f>
        <v>0</v>
      </c>
    </row>
    <row r="34" spans="1:7" x14ac:dyDescent="0.2">
      <c r="A34" s="11" t="s">
        <v>31</v>
      </c>
      <c r="B34" s="82"/>
      <c r="C34" s="12">
        <f>March!C34+B34</f>
        <v>0</v>
      </c>
      <c r="D34" s="84"/>
      <c r="E34" s="12">
        <f>March!E34+D34</f>
        <v>0</v>
      </c>
      <c r="F34" s="12"/>
      <c r="G34" s="12">
        <f>March!G34+F34</f>
        <v>0</v>
      </c>
    </row>
    <row r="35" spans="1:7" x14ac:dyDescent="0.2">
      <c r="A35" s="11" t="s">
        <v>32</v>
      </c>
      <c r="B35" s="82"/>
      <c r="C35" s="12">
        <f>March!C35+B35</f>
        <v>0</v>
      </c>
      <c r="D35" s="84"/>
      <c r="E35" s="12">
        <f>March!E35+D35</f>
        <v>0</v>
      </c>
      <c r="F35" s="12"/>
      <c r="G35" s="12">
        <f>March!G35+F35</f>
        <v>0</v>
      </c>
    </row>
    <row r="36" spans="1:7" x14ac:dyDescent="0.2">
      <c r="A36" s="11" t="s">
        <v>33</v>
      </c>
      <c r="B36" s="82"/>
      <c r="C36" s="12">
        <f>March!C36+B36</f>
        <v>0</v>
      </c>
      <c r="D36" s="84"/>
      <c r="E36" s="12">
        <f>March!E36+D36</f>
        <v>0</v>
      </c>
      <c r="F36" s="12"/>
      <c r="G36" s="12">
        <f>March!G36+F36</f>
        <v>0</v>
      </c>
    </row>
    <row r="37" spans="1:7" x14ac:dyDescent="0.2">
      <c r="A37" s="11" t="s">
        <v>34</v>
      </c>
      <c r="B37" s="83">
        <v>106013</v>
      </c>
      <c r="C37" s="12">
        <f>March!C37+B37</f>
        <v>521000</v>
      </c>
      <c r="D37" s="84"/>
      <c r="E37" s="12">
        <f>March!E37+D37</f>
        <v>0</v>
      </c>
      <c r="F37" s="12"/>
      <c r="G37" s="12">
        <f>March!G37+F37</f>
        <v>0</v>
      </c>
    </row>
    <row r="38" spans="1:7" x14ac:dyDescent="0.2">
      <c r="A38" s="11" t="s">
        <v>35</v>
      </c>
      <c r="B38" s="82">
        <f>1000+1200+1000+1200+2475+875+525+2450+400+400+1275+1275+1000+1200+2000+3500+2550+7500</f>
        <v>31825</v>
      </c>
      <c r="C38" s="12">
        <f>March!C38+B38</f>
        <v>148820</v>
      </c>
      <c r="D38" s="84">
        <f>6+174+200+300+110+100</f>
        <v>890</v>
      </c>
      <c r="E38" s="12">
        <f>March!E38+D38</f>
        <v>2745</v>
      </c>
      <c r="F38" s="12"/>
      <c r="G38" s="12">
        <f>March!G38+F38</f>
        <v>0</v>
      </c>
    </row>
    <row r="39" spans="1:7" x14ac:dyDescent="0.2">
      <c r="A39" s="11" t="s">
        <v>36</v>
      </c>
      <c r="B39" s="83">
        <f>410+11630</f>
        <v>12040</v>
      </c>
      <c r="C39" s="12">
        <f>March!C39+B39</f>
        <v>61529</v>
      </c>
      <c r="D39" s="84">
        <v>731</v>
      </c>
      <c r="E39" s="12">
        <f>March!E39+D39</f>
        <v>808</v>
      </c>
      <c r="F39" s="12"/>
      <c r="G39" s="12">
        <f>March!G39+F39</f>
        <v>0</v>
      </c>
    </row>
    <row r="40" spans="1:7" x14ac:dyDescent="0.2">
      <c r="A40" s="11" t="s">
        <v>37</v>
      </c>
      <c r="B40" s="83">
        <f>460+225+401+270+450+500+215+250+220+240+450+275+500+2160+520+2160+338+2160+300+1700+1975+2160+2160+2050+2160+1550+2160+2030+2160+1760+1820+2160+2015+1810+2070+1860+1640+2160+1960+2160+2160+241+193574</f>
        <v>249589</v>
      </c>
      <c r="C40" s="12">
        <f>March!C40+B40</f>
        <v>956062</v>
      </c>
      <c r="D40" s="84"/>
      <c r="E40" s="12">
        <f>March!E40+D40</f>
        <v>0</v>
      </c>
      <c r="F40" s="12"/>
      <c r="G40" s="12">
        <f>March!G40+F40</f>
        <v>0</v>
      </c>
    </row>
    <row r="41" spans="1:7" x14ac:dyDescent="0.2">
      <c r="A41" s="11" t="s">
        <v>38</v>
      </c>
      <c r="B41" s="82"/>
      <c r="C41" s="12">
        <f>March!C41+B41</f>
        <v>0</v>
      </c>
      <c r="D41" s="84"/>
      <c r="E41" s="12">
        <f>March!E41+D41</f>
        <v>0</v>
      </c>
      <c r="F41" s="12"/>
      <c r="G41" s="12">
        <f>March!G41+F41</f>
        <v>0</v>
      </c>
    </row>
    <row r="42" spans="1:7" x14ac:dyDescent="0.2">
      <c r="A42" s="11" t="s">
        <v>39</v>
      </c>
      <c r="B42" s="82"/>
      <c r="C42" s="12">
        <f>March!C42+B42</f>
        <v>9661</v>
      </c>
      <c r="D42" s="84">
        <f>100+100+340</f>
        <v>540</v>
      </c>
      <c r="E42" s="12">
        <f>March!E42+D42</f>
        <v>2358</v>
      </c>
      <c r="F42" s="12"/>
      <c r="G42" s="12">
        <f>March!G42+F42</f>
        <v>0</v>
      </c>
    </row>
    <row r="43" spans="1:7" x14ac:dyDescent="0.2">
      <c r="A43" s="11" t="s">
        <v>40</v>
      </c>
      <c r="B43" s="82"/>
      <c r="C43" s="12">
        <f>March!C43+B43</f>
        <v>0</v>
      </c>
      <c r="D43" s="84"/>
      <c r="E43" s="12">
        <f>March!E43+D43</f>
        <v>0</v>
      </c>
      <c r="F43" s="12"/>
      <c r="G43" s="12">
        <f>March!G43+F43</f>
        <v>0</v>
      </c>
    </row>
    <row r="44" spans="1:7" x14ac:dyDescent="0.2">
      <c r="A44" s="11" t="s">
        <v>41</v>
      </c>
      <c r="B44" s="82"/>
      <c r="C44" s="12">
        <f>March!C44+B44</f>
        <v>0</v>
      </c>
      <c r="D44" s="84"/>
      <c r="E44" s="12">
        <f>March!E44+D44</f>
        <v>0</v>
      </c>
      <c r="F44" s="12"/>
      <c r="G44" s="12">
        <f>March!G44+F44</f>
        <v>0</v>
      </c>
    </row>
    <row r="45" spans="1:7" x14ac:dyDescent="0.2">
      <c r="A45" s="11" t="s">
        <v>42</v>
      </c>
      <c r="B45" s="83">
        <f>1300+2500+2500+4800+300+303+300+300+500+500+2500+500+630+265+600+600+600+1750+600+573+635+25076</f>
        <v>47632</v>
      </c>
      <c r="C45" s="12">
        <f>March!C45+B45</f>
        <v>181940</v>
      </c>
      <c r="D45" s="85">
        <f>30+220+220+355+440+35+10+15+62+1+7+2+2+5+1+4+1+1+1+142</f>
        <v>1554</v>
      </c>
      <c r="E45" s="12">
        <f>March!E45+D45</f>
        <v>5390</v>
      </c>
      <c r="F45" s="12"/>
      <c r="G45" s="12">
        <f>March!G45+F45</f>
        <v>0</v>
      </c>
    </row>
    <row r="46" spans="1:7" x14ac:dyDescent="0.2">
      <c r="A46" s="11" t="s">
        <v>43</v>
      </c>
      <c r="B46" s="82"/>
      <c r="C46" s="12">
        <f>March!C46+B46</f>
        <v>0</v>
      </c>
      <c r="D46" s="85"/>
      <c r="E46" s="12">
        <f>March!E46+D46</f>
        <v>0</v>
      </c>
      <c r="F46" s="12"/>
      <c r="G46" s="12">
        <f>March!G46+F46</f>
        <v>0</v>
      </c>
    </row>
    <row r="47" spans="1:7" x14ac:dyDescent="0.2">
      <c r="A47" s="11" t="s">
        <v>44</v>
      </c>
      <c r="B47" s="83">
        <f>2500+48354</f>
        <v>50854</v>
      </c>
      <c r="C47" s="12">
        <f>March!C47+B47</f>
        <v>162295</v>
      </c>
      <c r="D47" s="84">
        <f>5</f>
        <v>5</v>
      </c>
      <c r="E47" s="12">
        <f>March!E47+D47</f>
        <v>9</v>
      </c>
      <c r="F47" s="12"/>
      <c r="G47" s="12">
        <f>March!G47+F47</f>
        <v>0</v>
      </c>
    </row>
    <row r="48" spans="1:7" x14ac:dyDescent="0.2">
      <c r="A48" s="11" t="s">
        <v>45</v>
      </c>
      <c r="B48" s="83">
        <v>37482</v>
      </c>
      <c r="C48" s="12">
        <f>March!C48+B48</f>
        <v>144954</v>
      </c>
      <c r="D48" s="84"/>
      <c r="E48" s="12">
        <f>March!E48+D48</f>
        <v>0</v>
      </c>
      <c r="F48" s="12"/>
      <c r="G48" s="12">
        <f>March!G48+F48</f>
        <v>0</v>
      </c>
    </row>
    <row r="49" spans="1:256" x14ac:dyDescent="0.2">
      <c r="A49" s="11" t="s">
        <v>46</v>
      </c>
      <c r="B49" s="82"/>
      <c r="C49" s="12">
        <f>March!C49+B49</f>
        <v>0</v>
      </c>
      <c r="D49" s="84"/>
      <c r="E49" s="12">
        <f>March!E49+D49</f>
        <v>0</v>
      </c>
      <c r="F49" s="12"/>
      <c r="G49" s="12">
        <f>March!G49+F49</f>
        <v>0</v>
      </c>
    </row>
    <row r="50" spans="1:256" x14ac:dyDescent="0.2">
      <c r="A50" s="11" t="s">
        <v>47</v>
      </c>
      <c r="B50" s="82"/>
      <c r="C50" s="12">
        <f>March!C50+B50</f>
        <v>0</v>
      </c>
      <c r="D50" s="84"/>
      <c r="E50" s="12">
        <f>March!E50+D50</f>
        <v>0</v>
      </c>
      <c r="F50" s="12"/>
      <c r="G50" s="12">
        <f>March!G50+F50</f>
        <v>0</v>
      </c>
    </row>
    <row r="51" spans="1:256" x14ac:dyDescent="0.2">
      <c r="A51" s="11" t="s">
        <v>48</v>
      </c>
      <c r="B51" s="82"/>
      <c r="C51" s="12">
        <f>March!C51+B51</f>
        <v>0</v>
      </c>
      <c r="D51" s="84"/>
      <c r="E51" s="12">
        <f>March!E51+D51</f>
        <v>0</v>
      </c>
      <c r="F51" s="12"/>
      <c r="G51" s="12">
        <f>March!G51+F51</f>
        <v>0</v>
      </c>
    </row>
    <row r="52" spans="1:256" x14ac:dyDescent="0.2">
      <c r="A52" s="11" t="s">
        <v>49</v>
      </c>
      <c r="B52" s="82"/>
      <c r="C52" s="12">
        <f>March!C52+B52</f>
        <v>0</v>
      </c>
      <c r="D52" s="84"/>
      <c r="E52" s="12">
        <f>March!E52+D52</f>
        <v>0</v>
      </c>
      <c r="F52" s="12"/>
      <c r="G52" s="12">
        <f>March!G52+F52</f>
        <v>0</v>
      </c>
    </row>
    <row r="53" spans="1:256" x14ac:dyDescent="0.2">
      <c r="A53" s="11" t="s">
        <v>50</v>
      </c>
      <c r="B53" s="83">
        <f>115+240+150+150+100+150+220+240+200+50+200+88+200+200+250+130+120+220+80+300+160+200+100+240+110+130+135+200+225+200+135+5+425+225+190+325+225+200+200+100+100+575</f>
        <v>7808</v>
      </c>
      <c r="C53" s="12">
        <f>March!C53+B53</f>
        <v>51423</v>
      </c>
      <c r="D53" s="84">
        <f>2+4+12</f>
        <v>18</v>
      </c>
      <c r="E53" s="12">
        <f>March!E53+D53</f>
        <v>2564</v>
      </c>
      <c r="F53" s="12"/>
      <c r="G53" s="12">
        <f>March!G53+F53</f>
        <v>0</v>
      </c>
    </row>
    <row r="54" spans="1:256" ht="15.75" thickBot="1" x14ac:dyDescent="0.25">
      <c r="A54" s="95" t="s">
        <v>51</v>
      </c>
      <c r="B54" s="96">
        <f>1910+1780+1820+956+864+1700+660+2360+1000+1500+1678+1960+2360+2360+2260+1980+1830+100</f>
        <v>29078</v>
      </c>
      <c r="C54" s="97">
        <f>March!C54+B54</f>
        <v>122452</v>
      </c>
      <c r="D54" s="98"/>
      <c r="E54" s="97">
        <f>March!E54+D54</f>
        <v>0</v>
      </c>
      <c r="F54" s="97"/>
      <c r="G54" s="97">
        <f>March!G54+F54</f>
        <v>0</v>
      </c>
    </row>
    <row r="55" spans="1:256" ht="26.1" customHeight="1" thickTop="1" thickBot="1" x14ac:dyDescent="0.25">
      <c r="A55" s="93" t="s">
        <v>53</v>
      </c>
      <c r="B55" s="94">
        <f>SUM(B7:B54)</f>
        <v>1982651</v>
      </c>
      <c r="C55" s="94">
        <f>March!C55+B55</f>
        <v>8093555.46875</v>
      </c>
      <c r="D55" s="94">
        <f>SUM(D7:D54)</f>
        <v>13710</v>
      </c>
      <c r="E55" s="94">
        <f>March!E55+D55</f>
        <v>52262</v>
      </c>
      <c r="F55" s="94">
        <f>SUM(F7:F54)</f>
        <v>13242</v>
      </c>
      <c r="G55" s="94">
        <f>March!G55+F55</f>
        <v>51728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/>
      <c r="D58" s="24">
        <f>March!D58+C58</f>
        <v>0</v>
      </c>
      <c r="E58" s="18"/>
    </row>
    <row r="59" spans="1:256" x14ac:dyDescent="0.2">
      <c r="A59" s="1" t="s">
        <v>56</v>
      </c>
      <c r="B59" s="23"/>
      <c r="C59" s="23">
        <v>2105</v>
      </c>
      <c r="D59" s="24">
        <f>March!D59+C59</f>
        <v>3645</v>
      </c>
    </row>
    <row r="60" spans="1:256" x14ac:dyDescent="0.2">
      <c r="A60" s="1" t="s">
        <v>57</v>
      </c>
      <c r="B60" s="23"/>
      <c r="C60" s="23"/>
      <c r="D60" s="24">
        <f>March!D60+C60</f>
        <v>0</v>
      </c>
    </row>
    <row r="61" spans="1:256" x14ac:dyDescent="0.2">
      <c r="A61" s="1" t="s">
        <v>58</v>
      </c>
      <c r="B61" s="23"/>
      <c r="C61" s="23"/>
      <c r="D61" s="24">
        <f>March!D61+C61</f>
        <v>0</v>
      </c>
    </row>
    <row r="62" spans="1:256" x14ac:dyDescent="0.2">
      <c r="A62" s="1" t="s">
        <v>59</v>
      </c>
      <c r="B62" s="23"/>
      <c r="C62" s="40">
        <f>3600</f>
        <v>3600</v>
      </c>
      <c r="D62" s="24">
        <f>March!D62+C62</f>
        <v>120296</v>
      </c>
    </row>
    <row r="63" spans="1:256" x14ac:dyDescent="0.2">
      <c r="A63" s="1" t="s">
        <v>65</v>
      </c>
      <c r="B63" s="23"/>
      <c r="C63" s="23">
        <f>80+170+75+75+340+90+45+52+70+20+270+70+106+45+90+75+170+80+80+75+24+373+35+170+100+75+240+52+30+90+45+70+106+75+45+90+270+20+15+170+80</f>
        <v>4253</v>
      </c>
      <c r="D63" s="24">
        <f>March!D63+C63</f>
        <v>48113</v>
      </c>
    </row>
    <row r="64" spans="1:256" x14ac:dyDescent="0.2">
      <c r="A64" s="1" t="s">
        <v>63</v>
      </c>
      <c r="B64" s="23"/>
      <c r="C64" s="40">
        <f>50+110+39+75+26+14+50+110+15</f>
        <v>489</v>
      </c>
      <c r="D64" s="24">
        <f>March!D64+C64</f>
        <v>83405</v>
      </c>
    </row>
    <row r="65" spans="1:4" x14ac:dyDescent="0.2">
      <c r="A65" s="1" t="s">
        <v>60</v>
      </c>
      <c r="C65" s="23"/>
      <c r="D65" s="24">
        <f>March!D65+C65</f>
        <v>0</v>
      </c>
    </row>
    <row r="66" spans="1:4" x14ac:dyDescent="0.2">
      <c r="A66" s="1" t="s">
        <v>61</v>
      </c>
      <c r="C66" s="23">
        <f>1320+210+178+241+96+140+150+80+170+178+66+64+14+87+75+60+150+178+120+180+130+150+50+155+178+122+170+150+100+260</f>
        <v>5222</v>
      </c>
      <c r="D66" s="24">
        <f>March!D66+C66</f>
        <v>19588</v>
      </c>
    </row>
    <row r="67" spans="1:4" x14ac:dyDescent="0.2">
      <c r="A67" s="1" t="s">
        <v>62</v>
      </c>
      <c r="C67" s="23">
        <v>850</v>
      </c>
      <c r="D67" s="24">
        <f>March!D67+C67</f>
        <v>4400</v>
      </c>
    </row>
  </sheetData>
  <phoneticPr fontId="0" type="noConversion"/>
  <pageMargins left="0.5" right="0.5" top="0.5" bottom="0.5" header="0.5" footer="0.5"/>
  <pageSetup scale="70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A1:IV68"/>
  <sheetViews>
    <sheetView defaultGridColor="0" colorId="22" zoomScale="75" zoomScaleNormal="75" workbookViewId="0">
      <pane ySplit="6" topLeftCell="A7" activePane="bottomLeft" state="frozen"/>
      <selection pane="bottomLeft" activeCell="C67" sqref="C67"/>
    </sheetView>
  </sheetViews>
  <sheetFormatPr defaultColWidth="11.77734375" defaultRowHeight="15" x14ac:dyDescent="0.2"/>
  <cols>
    <col min="1" max="1" width="16.77734375" style="1" customWidth="1"/>
    <col min="2" max="2" width="12.5546875" customWidth="1"/>
    <col min="3" max="3" width="12.33203125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70</v>
      </c>
      <c r="I2" s="2"/>
    </row>
    <row r="3" spans="1:256" ht="15.75" x14ac:dyDescent="0.25">
      <c r="F3" s="49" t="s">
        <v>79</v>
      </c>
      <c r="I3" s="2"/>
    </row>
    <row r="4" spans="1:256" ht="16.5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2">
        <f>860+860+865+650+850+563+850+850+675+190+350+1000+1000+626+850</f>
        <v>11039</v>
      </c>
      <c r="C7" s="12">
        <f>April!C7+B7</f>
        <v>35996</v>
      </c>
      <c r="D7" s="84"/>
      <c r="E7" s="12">
        <f>April!E7+D7</f>
        <v>0</v>
      </c>
      <c r="F7" s="12"/>
      <c r="G7" s="12">
        <f>April!G7+F7</f>
        <v>0</v>
      </c>
    </row>
    <row r="8" spans="1:256" x14ac:dyDescent="0.2">
      <c r="A8" s="11" t="s">
        <v>64</v>
      </c>
      <c r="B8" s="86"/>
      <c r="C8" s="27">
        <f>April!C8+B8</f>
        <v>0</v>
      </c>
      <c r="D8" s="87"/>
      <c r="E8" s="27">
        <f>April!E8+D8</f>
        <v>0</v>
      </c>
      <c r="F8" s="27"/>
      <c r="G8" s="27">
        <f>April!G8+F8</f>
        <v>0</v>
      </c>
    </row>
    <row r="9" spans="1:256" x14ac:dyDescent="0.2">
      <c r="A9" s="11" t="s">
        <v>7</v>
      </c>
      <c r="B9" s="86">
        <f>550+700+400+450+360+1010+1010+1010+1010+1100+1100+300+800+1100+200+900+1100+1100+1150+1150+600+600+700+550+700+550+489+700+550+2593+965+600+650+760+715+22065</f>
        <v>50287</v>
      </c>
      <c r="C9" s="27">
        <f>April!C9+B9</f>
        <v>148479</v>
      </c>
      <c r="D9" s="87">
        <f>2+1+2+1</f>
        <v>6</v>
      </c>
      <c r="E9" s="27">
        <f>April!E9+D9</f>
        <v>10</v>
      </c>
      <c r="F9" s="27"/>
      <c r="G9" s="27">
        <f>April!G9+F9</f>
        <v>0</v>
      </c>
    </row>
    <row r="10" spans="1:256" x14ac:dyDescent="0.2">
      <c r="A10" s="11" t="s">
        <v>8</v>
      </c>
      <c r="B10" s="86"/>
      <c r="C10" s="27">
        <f>April!C10+B10</f>
        <v>0</v>
      </c>
      <c r="D10" s="87">
        <v>1</v>
      </c>
      <c r="E10" s="27">
        <f>April!E10+D10</f>
        <v>2</v>
      </c>
      <c r="F10" s="27"/>
      <c r="G10" s="27">
        <f>April!G10+F10</f>
        <v>0</v>
      </c>
    </row>
    <row r="11" spans="1:256" x14ac:dyDescent="0.2">
      <c r="A11" s="99" t="s">
        <v>52</v>
      </c>
      <c r="B11" s="86">
        <v>272761</v>
      </c>
      <c r="C11" s="27">
        <f>April!C11+B11</f>
        <v>1330048</v>
      </c>
      <c r="D11" s="87">
        <v>811</v>
      </c>
      <c r="E11" s="27">
        <f>April!E11+D11</f>
        <v>4452</v>
      </c>
      <c r="F11" s="27">
        <v>11352</v>
      </c>
      <c r="G11" s="27">
        <f>April!G11+F11</f>
        <v>60460</v>
      </c>
    </row>
    <row r="12" spans="1:256" x14ac:dyDescent="0.2">
      <c r="A12" s="11" t="s">
        <v>9</v>
      </c>
      <c r="B12" s="86">
        <f>1150+1150+1150+750+400+1300+1100+1300+1100+1700+300+1200+1100+1100+1100+1300+2250+2000+2025+390+1960+2400+750+1850+2150+2275+1300+950+940+1310+2300+2000+1970+280+720+1360+2650+1200+1200+1150+1150+1200+1200+1300+500+1300+1100+1830+370+2000+1605+370+2300+1250+1150+1150+600+550+500+700+1700+1100+1800+550+550+1100+1100+1200+1100+1050+53420</f>
        <v>141375</v>
      </c>
      <c r="C12" s="27">
        <f>April!C12+B12</f>
        <v>610828</v>
      </c>
      <c r="D12" s="87"/>
      <c r="E12" s="27">
        <f>April!E12+D12</f>
        <v>350</v>
      </c>
      <c r="F12" s="27"/>
      <c r="G12" s="27">
        <f>April!G12+F12</f>
        <v>0</v>
      </c>
    </row>
    <row r="13" spans="1:256" x14ac:dyDescent="0.2">
      <c r="A13" s="11" t="s">
        <v>10</v>
      </c>
      <c r="B13" s="86"/>
      <c r="C13" s="27">
        <f>April!C13+B13</f>
        <v>0</v>
      </c>
      <c r="D13" s="87"/>
      <c r="E13" s="27">
        <f>April!E13+D13</f>
        <v>0</v>
      </c>
      <c r="F13" s="27"/>
      <c r="G13" s="27">
        <f>April!G13+F13</f>
        <v>0</v>
      </c>
    </row>
    <row r="14" spans="1:256" x14ac:dyDescent="0.2">
      <c r="A14" s="11" t="s">
        <v>11</v>
      </c>
      <c r="B14" s="86"/>
      <c r="C14" s="27">
        <f>April!C14+B14</f>
        <v>0</v>
      </c>
      <c r="D14" s="87"/>
      <c r="E14" s="27">
        <f>April!E14+D14</f>
        <v>0</v>
      </c>
      <c r="F14" s="27"/>
      <c r="G14" s="27">
        <f>April!G14+F14</f>
        <v>0</v>
      </c>
    </row>
    <row r="15" spans="1:256" x14ac:dyDescent="0.2">
      <c r="A15" s="11" t="s">
        <v>12</v>
      </c>
      <c r="B15" s="86"/>
      <c r="C15" s="27">
        <f>April!C15+B15</f>
        <v>0</v>
      </c>
      <c r="D15" s="87"/>
      <c r="E15" s="27">
        <f>April!E15+D15</f>
        <v>0</v>
      </c>
      <c r="F15" s="27"/>
      <c r="G15" s="27">
        <f>April!G15+F15</f>
        <v>0</v>
      </c>
    </row>
    <row r="16" spans="1:256" x14ac:dyDescent="0.2">
      <c r="A16" s="11" t="s">
        <v>13</v>
      </c>
      <c r="B16" s="86">
        <f>1200+1150+1400</f>
        <v>3750</v>
      </c>
      <c r="C16" s="27">
        <f>April!C16+B16</f>
        <v>23745</v>
      </c>
      <c r="D16" s="87"/>
      <c r="E16" s="27">
        <f>April!E16+D16</f>
        <v>0</v>
      </c>
      <c r="F16" s="27"/>
      <c r="G16" s="27">
        <f>April!G16+F16</f>
        <v>0</v>
      </c>
    </row>
    <row r="17" spans="1:7" x14ac:dyDescent="0.2">
      <c r="A17" s="11" t="s">
        <v>14</v>
      </c>
      <c r="B17" s="86"/>
      <c r="C17" s="27">
        <f>April!C17+B17</f>
        <v>0</v>
      </c>
      <c r="D17" s="87"/>
      <c r="E17" s="27">
        <f>April!E17+D17</f>
        <v>0</v>
      </c>
      <c r="F17" s="27"/>
      <c r="G17" s="27">
        <f>April!G17+F17</f>
        <v>0</v>
      </c>
    </row>
    <row r="18" spans="1:7" x14ac:dyDescent="0.2">
      <c r="A18" s="11" t="s">
        <v>15</v>
      </c>
      <c r="B18" s="86">
        <f>600+600+600+600+600+600+1200+651+652+606+1225+1100+1000+1000+603+603+1245+622+727+728+280+380+1280+1500+1600+250+1000+711+625+623+350+425+1225+400+715+600+1350+1450+1350+825+750+1125+664+604+2560+1225+583+1300+637+600+1270+1200+1060+1020+1020+600+664+626+713+504+1270+1100+1030+1450+1060+1060+1060+175+300+450+300+1600+250+800+787+250+330+1060+1550+1750+1000+1850+918+1052+1225+642+1284+226+1057+243020</f>
        <v>321132</v>
      </c>
      <c r="C18" s="27">
        <f>April!C18+B18</f>
        <v>1661711</v>
      </c>
      <c r="D18" s="87">
        <f>110+45+1+2+9+7+4+170+150+3+32+376+916</f>
        <v>1825</v>
      </c>
      <c r="E18" s="27">
        <f>April!E18+D18</f>
        <v>10127</v>
      </c>
      <c r="F18" s="27"/>
      <c r="G18" s="27">
        <f>April!G18+F18</f>
        <v>0</v>
      </c>
    </row>
    <row r="19" spans="1:7" x14ac:dyDescent="0.2">
      <c r="A19" s="11" t="s">
        <v>16</v>
      </c>
      <c r="B19" s="86">
        <f>12590+12240</f>
        <v>24830</v>
      </c>
      <c r="C19" s="27">
        <f>April!C19+B19</f>
        <v>73316</v>
      </c>
      <c r="D19" s="87">
        <f>50+3+6+28+378</f>
        <v>465</v>
      </c>
      <c r="E19" s="27">
        <f>April!E19+D19</f>
        <v>1148</v>
      </c>
      <c r="F19" s="27"/>
      <c r="G19" s="27">
        <f>April!G19+F19</f>
        <v>0</v>
      </c>
    </row>
    <row r="20" spans="1:7" x14ac:dyDescent="0.2">
      <c r="A20" s="11" t="s">
        <v>17</v>
      </c>
      <c r="B20" s="86">
        <f>800+800+2000+800+131+240+225+1375+1050+810+1150+200+1600+1200+1200+1600+450+800+10245</f>
        <v>26676</v>
      </c>
      <c r="C20" s="27">
        <f>April!C20+B20</f>
        <v>97210</v>
      </c>
      <c r="D20" s="87">
        <f>3+1+1+18+16+25+1+40+213</f>
        <v>318</v>
      </c>
      <c r="E20" s="27">
        <f>April!E20+D20</f>
        <v>848</v>
      </c>
      <c r="F20" s="27"/>
      <c r="G20" s="27">
        <f>April!G20+F20</f>
        <v>0</v>
      </c>
    </row>
    <row r="21" spans="1:7" x14ac:dyDescent="0.2">
      <c r="A21" s="11" t="s">
        <v>18</v>
      </c>
      <c r="B21" s="86">
        <f>20+10</f>
        <v>30</v>
      </c>
      <c r="C21" s="27">
        <f>April!C21+B21</f>
        <v>58</v>
      </c>
      <c r="D21" s="87">
        <f>3+5+9+3</f>
        <v>20</v>
      </c>
      <c r="E21" s="27">
        <f>April!E21+D21</f>
        <v>378</v>
      </c>
      <c r="F21" s="27"/>
      <c r="G21" s="27">
        <f>April!G21+F21</f>
        <v>0</v>
      </c>
    </row>
    <row r="22" spans="1:7" x14ac:dyDescent="0.2">
      <c r="A22" s="11" t="s">
        <v>19</v>
      </c>
      <c r="B22" s="86"/>
      <c r="C22" s="27">
        <f>April!C22+B22</f>
        <v>0</v>
      </c>
      <c r="D22" s="87"/>
      <c r="E22" s="27">
        <f>April!E22+D22</f>
        <v>0</v>
      </c>
      <c r="F22" s="27"/>
      <c r="G22" s="27">
        <f>April!G22+F22</f>
        <v>0</v>
      </c>
    </row>
    <row r="23" spans="1:7" x14ac:dyDescent="0.2">
      <c r="A23" s="11" t="s">
        <v>20</v>
      </c>
      <c r="B23" s="86"/>
      <c r="C23" s="27">
        <f>April!C23+B23</f>
        <v>0</v>
      </c>
      <c r="D23" s="87"/>
      <c r="E23" s="27">
        <f>April!E23+D23</f>
        <v>0</v>
      </c>
      <c r="F23" s="27"/>
      <c r="G23" s="27">
        <f>April!G23+F23</f>
        <v>0</v>
      </c>
    </row>
    <row r="24" spans="1:7" x14ac:dyDescent="0.2">
      <c r="A24" s="11" t="s">
        <v>21</v>
      </c>
      <c r="B24" s="86"/>
      <c r="C24" s="27">
        <f>April!C24+B24</f>
        <v>0</v>
      </c>
      <c r="D24" s="87">
        <f>1</f>
        <v>1</v>
      </c>
      <c r="E24" s="27">
        <f>April!E24+D24</f>
        <v>1</v>
      </c>
      <c r="F24" s="27"/>
      <c r="G24" s="27">
        <f>April!G24+F24</f>
        <v>0</v>
      </c>
    </row>
    <row r="25" spans="1:7" x14ac:dyDescent="0.2">
      <c r="A25" s="11" t="s">
        <v>22</v>
      </c>
      <c r="B25" s="86"/>
      <c r="C25" s="27">
        <f>April!C25+B25</f>
        <v>0</v>
      </c>
      <c r="D25" s="87"/>
      <c r="E25" s="27">
        <f>April!E25+D25</f>
        <v>0</v>
      </c>
      <c r="F25" s="27"/>
      <c r="G25" s="27">
        <f>April!G25+F25</f>
        <v>0</v>
      </c>
    </row>
    <row r="26" spans="1:7" x14ac:dyDescent="0.2">
      <c r="A26" s="11" t="s">
        <v>23</v>
      </c>
      <c r="B26" s="86">
        <f>55+30</f>
        <v>85</v>
      </c>
      <c r="C26" s="27">
        <f>April!C26+B26</f>
        <v>1799</v>
      </c>
      <c r="D26" s="87">
        <f>10+6+1523+1548</f>
        <v>3087</v>
      </c>
      <c r="E26" s="27">
        <f>April!E26+D26</f>
        <v>8716</v>
      </c>
      <c r="F26" s="27"/>
      <c r="G26" s="27">
        <f>April!G26+F26</f>
        <v>0</v>
      </c>
    </row>
    <row r="27" spans="1:7" x14ac:dyDescent="0.2">
      <c r="A27" s="11" t="s">
        <v>24</v>
      </c>
      <c r="B27" s="86">
        <f>300+2000+2211+850+850+3240+1000+280+1200+800+390+510+450+2056+181+181+850+390+390+360+240+350+250+460+460+450+450+557+2100+2600+2100+2056+2100+2500+2000+3325+1080+465+330+430+1800+1800+2000+2500+2213+122+480+480+360+456+252+280+250+250+360+850+850+240+676+29+678+21+450+310+800+2750+315+4+500+48+688+2880+1920+850+4160+402+212+850+212+2200+250+405+640+240+800+250+2450+111364</f>
        <v>195689</v>
      </c>
      <c r="C27" s="27">
        <f>April!C27+B27</f>
        <v>901738</v>
      </c>
      <c r="D27" s="87">
        <f>212+20+124+2+6+11+1290</f>
        <v>1665</v>
      </c>
      <c r="E27" s="27">
        <f>April!E27+D27</f>
        <v>9728</v>
      </c>
      <c r="F27" s="27">
        <f>667+666+666+667+666+666</f>
        <v>3998</v>
      </c>
      <c r="G27" s="27">
        <f>April!G27+F27</f>
        <v>6588</v>
      </c>
    </row>
    <row r="28" spans="1:7" x14ac:dyDescent="0.2">
      <c r="A28" s="11" t="s">
        <v>25</v>
      </c>
      <c r="B28" s="86">
        <v>43600</v>
      </c>
      <c r="C28" s="27">
        <f>April!C28+B28</f>
        <v>197226.46875</v>
      </c>
      <c r="D28" s="87"/>
      <c r="E28" s="27">
        <f>April!E28+D28</f>
        <v>0</v>
      </c>
      <c r="F28" s="27"/>
      <c r="G28" s="27">
        <f>April!G28+F28</f>
        <v>0</v>
      </c>
    </row>
    <row r="29" spans="1:7" x14ac:dyDescent="0.2">
      <c r="A29" s="11" t="s">
        <v>26</v>
      </c>
      <c r="B29" s="86">
        <f>1325+700+890+1050+1240+1180+310+200+200+750+500+1050+3475+500+550+550+590+590+547+1283+598+1794+1795+644+644+507+644+1530+1530+280+1448+1645+2185+2125+845+2320+2690+1477+925+1595+1966+400+256+850+1458+550+1100+1100+1250+1250+1050+275+240+1250+722+723+435+1797+763+1527+630+630+1125+320+345+400+4+175+181946</f>
        <v>249238</v>
      </c>
      <c r="C29" s="27">
        <f>April!C29+B29</f>
        <v>1324010</v>
      </c>
      <c r="D29" s="87">
        <f>2+36+562+2</f>
        <v>602</v>
      </c>
      <c r="E29" s="27">
        <f>April!E29+D29</f>
        <v>767</v>
      </c>
      <c r="F29" s="27"/>
      <c r="G29" s="27">
        <f>April!G29+F29</f>
        <v>30</v>
      </c>
    </row>
    <row r="30" spans="1:7" x14ac:dyDescent="0.2">
      <c r="A30" s="11" t="s">
        <v>27</v>
      </c>
      <c r="B30" s="79">
        <f>7+15+9+12+2400</f>
        <v>2443</v>
      </c>
      <c r="C30" s="27">
        <f>April!C30+B30</f>
        <v>23648</v>
      </c>
      <c r="D30" s="87"/>
      <c r="E30" s="27">
        <f>April!E30+D30</f>
        <v>0</v>
      </c>
      <c r="F30" s="27"/>
      <c r="G30" s="27">
        <f>April!G30+F30</f>
        <v>0</v>
      </c>
    </row>
    <row r="31" spans="1:7" x14ac:dyDescent="0.2">
      <c r="A31" s="11" t="s">
        <v>28</v>
      </c>
      <c r="B31" s="86">
        <f>1115+625+1130+1115+500+1130+925+600+1130+330+600+1000+600+165+1200+600+700+400+400+550+475+1115+1250+600+500+550+1000+600+825+425+852+850+852+1200+850+852+850+560+560+1300+250+550+1080+750+510+200+1000+1250+620+50+1250+300+600+600+500+210+1250+1150+1200+500+325+185+900+1500+500+680+1250+680+1300+1000+1300+1460+1060+1250+1460+970+700+600+490+600+1600+113483</f>
        <v>177994</v>
      </c>
      <c r="C31" s="27">
        <f>April!C31+B31</f>
        <v>824536</v>
      </c>
      <c r="D31" s="87">
        <f>1+33+2+30+120+120+5+20+3+70+186+65+42+4+2+66+2+6+50+16+30+197+130+160+360</f>
        <v>1720</v>
      </c>
      <c r="E31" s="27">
        <f>April!E31+D31</f>
        <v>12382</v>
      </c>
      <c r="F31" s="27"/>
      <c r="G31" s="27">
        <f>April!G31+F31</f>
        <v>0</v>
      </c>
    </row>
    <row r="32" spans="1:7" x14ac:dyDescent="0.2">
      <c r="A32" s="11" t="s">
        <v>29</v>
      </c>
      <c r="B32" s="86"/>
      <c r="C32" s="27">
        <f>April!C32+B32</f>
        <v>0</v>
      </c>
      <c r="D32" s="87"/>
      <c r="E32" s="27">
        <f>April!E32+D32</f>
        <v>0</v>
      </c>
      <c r="F32" s="27"/>
      <c r="G32" s="27">
        <f>April!G32+F32</f>
        <v>0</v>
      </c>
    </row>
    <row r="33" spans="1:7" x14ac:dyDescent="0.2">
      <c r="A33" s="11" t="s">
        <v>30</v>
      </c>
      <c r="B33" s="86"/>
      <c r="C33" s="27">
        <f>April!C33+B33</f>
        <v>0</v>
      </c>
      <c r="D33" s="87"/>
      <c r="E33" s="27">
        <f>April!E33+D33</f>
        <v>0</v>
      </c>
      <c r="F33" s="27"/>
      <c r="G33" s="27">
        <f>April!G33+F33</f>
        <v>0</v>
      </c>
    </row>
    <row r="34" spans="1:7" x14ac:dyDescent="0.2">
      <c r="A34" s="11" t="s">
        <v>31</v>
      </c>
      <c r="B34" s="86"/>
      <c r="C34" s="27">
        <f>April!C34+B34</f>
        <v>0</v>
      </c>
      <c r="D34" s="87"/>
      <c r="E34" s="27">
        <f>April!E34+D34</f>
        <v>0</v>
      </c>
      <c r="F34" s="27"/>
      <c r="G34" s="27">
        <f>April!G34+F34</f>
        <v>0</v>
      </c>
    </row>
    <row r="35" spans="1:7" x14ac:dyDescent="0.2">
      <c r="A35" s="11" t="s">
        <v>32</v>
      </c>
      <c r="B35" s="86"/>
      <c r="C35" s="27">
        <f>April!C35+B35</f>
        <v>0</v>
      </c>
      <c r="D35" s="87"/>
      <c r="E35" s="27">
        <f>April!E35+D35</f>
        <v>0</v>
      </c>
      <c r="F35" s="27"/>
      <c r="G35" s="27">
        <f>April!G35+F35</f>
        <v>0</v>
      </c>
    </row>
    <row r="36" spans="1:7" x14ac:dyDescent="0.2">
      <c r="A36" s="11" t="s">
        <v>33</v>
      </c>
      <c r="B36" s="86"/>
      <c r="C36" s="27">
        <f>April!C36+B36</f>
        <v>0</v>
      </c>
      <c r="D36" s="87"/>
      <c r="E36" s="27">
        <f>April!E36+D36</f>
        <v>0</v>
      </c>
      <c r="F36" s="27"/>
      <c r="G36" s="27">
        <f>April!G36+F36</f>
        <v>0</v>
      </c>
    </row>
    <row r="37" spans="1:7" x14ac:dyDescent="0.2">
      <c r="A37" s="11" t="s">
        <v>34</v>
      </c>
      <c r="B37" s="86">
        <f>34490+129407</f>
        <v>163897</v>
      </c>
      <c r="C37" s="27">
        <f>April!C37+B37</f>
        <v>684897</v>
      </c>
      <c r="D37" s="87"/>
      <c r="E37" s="27">
        <f>April!E37+D37</f>
        <v>0</v>
      </c>
      <c r="F37" s="27"/>
      <c r="G37" s="27">
        <f>April!G37+F37</f>
        <v>0</v>
      </c>
    </row>
    <row r="38" spans="1:7" x14ac:dyDescent="0.2">
      <c r="A38" s="11" t="s">
        <v>35</v>
      </c>
      <c r="B38" s="86">
        <f>2450+2450+1200+1300+500+1200+2000+3600+1300+1300+2600+2500+10000</f>
        <v>32400</v>
      </c>
      <c r="C38" s="27">
        <f>April!C38+B38</f>
        <v>181220</v>
      </c>
      <c r="D38" s="87">
        <f>335+151+300+190+70+200+160+92</f>
        <v>1498</v>
      </c>
      <c r="E38" s="27">
        <f>April!E38+D38</f>
        <v>4243</v>
      </c>
      <c r="F38" s="27"/>
      <c r="G38" s="27">
        <f>April!G38+F38</f>
        <v>0</v>
      </c>
    </row>
    <row r="39" spans="1:7" x14ac:dyDescent="0.2">
      <c r="A39" s="11" t="s">
        <v>36</v>
      </c>
      <c r="B39" s="86">
        <f>400+11990</f>
        <v>12390</v>
      </c>
      <c r="C39" s="27">
        <f>April!C39+B39</f>
        <v>73919</v>
      </c>
      <c r="D39" s="87">
        <f>7+4856</f>
        <v>4863</v>
      </c>
      <c r="E39" s="27">
        <f>April!E39+D39</f>
        <v>5671</v>
      </c>
      <c r="F39" s="27"/>
      <c r="G39" s="27">
        <f>April!G39+F39</f>
        <v>0</v>
      </c>
    </row>
    <row r="40" spans="1:7" x14ac:dyDescent="0.2">
      <c r="A40" s="11" t="s">
        <v>37</v>
      </c>
      <c r="B40" s="86">
        <f>225+500+480+2160+400+450+1440+2160+250+2010+215+275+2160+502+460+475+2020+225+1100+1671+475+743+220+500+2160+185+1940+2160+2010+2160+182935</f>
        <v>214666</v>
      </c>
      <c r="C40" s="27">
        <f>April!C40+B40</f>
        <v>1170728</v>
      </c>
      <c r="D40" s="87"/>
      <c r="E40" s="27">
        <f>April!E40+D40</f>
        <v>0</v>
      </c>
      <c r="F40" s="27"/>
      <c r="G40" s="27">
        <f>April!G40+F40</f>
        <v>0</v>
      </c>
    </row>
    <row r="41" spans="1:7" x14ac:dyDescent="0.2">
      <c r="A41" s="11" t="s">
        <v>38</v>
      </c>
      <c r="B41" s="86"/>
      <c r="C41" s="27">
        <f>April!C41+B41</f>
        <v>0</v>
      </c>
      <c r="D41" s="87"/>
      <c r="E41" s="27">
        <f>April!E41+D41</f>
        <v>0</v>
      </c>
      <c r="F41" s="27"/>
      <c r="G41" s="27">
        <f>April!G41+F41</f>
        <v>0</v>
      </c>
    </row>
    <row r="42" spans="1:7" x14ac:dyDescent="0.2">
      <c r="A42" s="11" t="s">
        <v>39</v>
      </c>
      <c r="B42" s="86"/>
      <c r="C42" s="27">
        <f>April!C42+B42</f>
        <v>9661</v>
      </c>
      <c r="D42" s="87">
        <f>128+128+692</f>
        <v>948</v>
      </c>
      <c r="E42" s="27">
        <f>April!E42+D42</f>
        <v>3306</v>
      </c>
      <c r="F42" s="27"/>
      <c r="G42" s="27">
        <f>April!G42+F42</f>
        <v>0</v>
      </c>
    </row>
    <row r="43" spans="1:7" x14ac:dyDescent="0.2">
      <c r="A43" s="11" t="s">
        <v>40</v>
      </c>
      <c r="B43" s="86"/>
      <c r="C43" s="27">
        <f>April!C43+B43</f>
        <v>0</v>
      </c>
      <c r="D43" s="87"/>
      <c r="E43" s="27">
        <f>April!E43+D43</f>
        <v>0</v>
      </c>
      <c r="F43" s="27"/>
      <c r="G43" s="27">
        <f>April!G43+F43</f>
        <v>0</v>
      </c>
    </row>
    <row r="44" spans="1:7" x14ac:dyDescent="0.2">
      <c r="A44" s="11" t="s">
        <v>41</v>
      </c>
      <c r="B44" s="86"/>
      <c r="C44" s="27">
        <f>April!C44+B44</f>
        <v>0</v>
      </c>
      <c r="D44" s="87"/>
      <c r="E44" s="27">
        <f>April!E44+D44</f>
        <v>0</v>
      </c>
      <c r="F44" s="27"/>
      <c r="G44" s="27">
        <f>April!G44+F44</f>
        <v>0</v>
      </c>
    </row>
    <row r="45" spans="1:7" x14ac:dyDescent="0.2">
      <c r="A45" s="11" t="s">
        <v>42</v>
      </c>
      <c r="B45" s="86">
        <f>630+630+630+630+1300+450+500+640+640+2500+1100+38442</f>
        <v>48092</v>
      </c>
      <c r="C45" s="27">
        <f>April!C45+B45</f>
        <v>230032</v>
      </c>
      <c r="D45" s="87">
        <f>11+135+951</f>
        <v>1097</v>
      </c>
      <c r="E45" s="27">
        <f>April!E45+D45</f>
        <v>6487</v>
      </c>
      <c r="F45" s="27"/>
      <c r="G45" s="27">
        <f>April!G45+F45</f>
        <v>0</v>
      </c>
    </row>
    <row r="46" spans="1:7" x14ac:dyDescent="0.2">
      <c r="A46" s="11" t="s">
        <v>43</v>
      </c>
      <c r="B46" s="86"/>
      <c r="C46" s="27">
        <f>April!C46+B46</f>
        <v>0</v>
      </c>
      <c r="D46" s="87"/>
      <c r="E46" s="27">
        <f>April!E46+D46</f>
        <v>0</v>
      </c>
      <c r="F46" s="27"/>
      <c r="G46" s="27">
        <f>April!G46+F46</f>
        <v>0</v>
      </c>
    </row>
    <row r="47" spans="1:7" x14ac:dyDescent="0.2">
      <c r="A47" s="11" t="s">
        <v>44</v>
      </c>
      <c r="B47" s="86">
        <v>87332</v>
      </c>
      <c r="C47" s="27">
        <f>April!C47+B47</f>
        <v>249627</v>
      </c>
      <c r="D47" s="87">
        <f>101+5</f>
        <v>106</v>
      </c>
      <c r="E47" s="27">
        <f>April!E47+D47</f>
        <v>115</v>
      </c>
      <c r="F47" s="27"/>
      <c r="G47" s="27">
        <f>April!G47+F47</f>
        <v>0</v>
      </c>
    </row>
    <row r="48" spans="1:7" x14ac:dyDescent="0.2">
      <c r="A48" s="11" t="s">
        <v>45</v>
      </c>
      <c r="B48" s="86">
        <f>38570</f>
        <v>38570</v>
      </c>
      <c r="C48" s="27">
        <f>April!C48+B48</f>
        <v>183524</v>
      </c>
      <c r="D48" s="87"/>
      <c r="E48" s="27">
        <f>April!E48+D48</f>
        <v>0</v>
      </c>
      <c r="F48" s="27">
        <f>41</f>
        <v>41</v>
      </c>
      <c r="G48" s="27">
        <f>April!G48+F48</f>
        <v>41</v>
      </c>
    </row>
    <row r="49" spans="1:256" x14ac:dyDescent="0.2">
      <c r="A49" s="11" t="s">
        <v>46</v>
      </c>
      <c r="B49" s="86"/>
      <c r="C49" s="27">
        <f>April!C49+B49</f>
        <v>0</v>
      </c>
      <c r="D49" s="87"/>
      <c r="E49" s="27">
        <f>April!E49+D49</f>
        <v>0</v>
      </c>
      <c r="F49" s="27"/>
      <c r="G49" s="27">
        <f>April!G49+F49</f>
        <v>0</v>
      </c>
    </row>
    <row r="50" spans="1:256" x14ac:dyDescent="0.2">
      <c r="A50" s="11" t="s">
        <v>47</v>
      </c>
      <c r="B50" s="86"/>
      <c r="C50" s="27">
        <f>April!C50+B50</f>
        <v>0</v>
      </c>
      <c r="D50" s="87"/>
      <c r="E50" s="27">
        <f>April!E50+D50</f>
        <v>0</v>
      </c>
      <c r="F50" s="27"/>
      <c r="G50" s="27">
        <f>April!G50+F50</f>
        <v>0</v>
      </c>
    </row>
    <row r="51" spans="1:256" x14ac:dyDescent="0.2">
      <c r="A51" s="11" t="s">
        <v>48</v>
      </c>
      <c r="B51" s="86"/>
      <c r="C51" s="27">
        <f>April!C51+B51</f>
        <v>0</v>
      </c>
      <c r="D51" s="87"/>
      <c r="E51" s="27">
        <f>April!E51+D51</f>
        <v>0</v>
      </c>
      <c r="F51" s="27"/>
      <c r="G51" s="27">
        <f>April!G51+F51</f>
        <v>0</v>
      </c>
    </row>
    <row r="52" spans="1:256" x14ac:dyDescent="0.2">
      <c r="A52" s="11" t="s">
        <v>49</v>
      </c>
      <c r="B52" s="86"/>
      <c r="C52" s="27">
        <f>April!C52+B52</f>
        <v>0</v>
      </c>
      <c r="D52" s="87"/>
      <c r="E52" s="27">
        <f>April!E52+D52</f>
        <v>0</v>
      </c>
      <c r="F52" s="27"/>
      <c r="G52" s="27">
        <f>April!G52+F52</f>
        <v>0</v>
      </c>
    </row>
    <row r="53" spans="1:256" x14ac:dyDescent="0.2">
      <c r="A53" s="11" t="s">
        <v>50</v>
      </c>
      <c r="B53" s="86">
        <f>96+2200+2400+500+2100+600+600+975+2125+2100+2400+2400+450+400+20+10+240+200+225+200+1100+2500+900+900+600+225+350+425+550+750+700+535+75+440+480</f>
        <v>30771</v>
      </c>
      <c r="C53" s="27">
        <f>April!C53+B53</f>
        <v>82194</v>
      </c>
      <c r="D53" s="87">
        <f>111+8</f>
        <v>119</v>
      </c>
      <c r="E53" s="27">
        <f>April!E53+D53</f>
        <v>2683</v>
      </c>
      <c r="F53" s="27"/>
      <c r="G53" s="27">
        <f>April!G53+F53</f>
        <v>0</v>
      </c>
    </row>
    <row r="54" spans="1:256" ht="15.75" thickBot="1" x14ac:dyDescent="0.25">
      <c r="A54" s="95" t="s">
        <v>51</v>
      </c>
      <c r="B54" s="86"/>
      <c r="C54" s="27">
        <f>April!C54+B54</f>
        <v>122452</v>
      </c>
      <c r="D54" s="87"/>
      <c r="E54" s="27">
        <f>April!E54+D54</f>
        <v>0</v>
      </c>
      <c r="F54" s="27"/>
      <c r="G54" s="27">
        <f>April!G54+F54</f>
        <v>0</v>
      </c>
    </row>
    <row r="55" spans="1:256" ht="26.1" customHeight="1" thickTop="1" thickBot="1" x14ac:dyDescent="0.25">
      <c r="A55" s="93" t="s">
        <v>53</v>
      </c>
      <c r="B55" s="15">
        <f>SUM(B7:B54)</f>
        <v>2149047</v>
      </c>
      <c r="C55" s="15">
        <f>April!C55+B55</f>
        <v>10242602.46875</v>
      </c>
      <c r="D55" s="15">
        <f>SUM(D7:D54)</f>
        <v>19152</v>
      </c>
      <c r="E55" s="15">
        <f>April!E55+D55</f>
        <v>71414</v>
      </c>
      <c r="F55" s="15">
        <f>SUM(F7:F54)</f>
        <v>15391</v>
      </c>
      <c r="G55" s="15">
        <f>April!G55+F55</f>
        <v>67119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30"/>
      <c r="C56" s="30"/>
      <c r="D56" s="30"/>
      <c r="E56" s="30"/>
      <c r="F56" s="31"/>
      <c r="G56" s="31"/>
    </row>
    <row r="57" spans="1:256" ht="16.5" thickBot="1" x14ac:dyDescent="0.3">
      <c r="A57" s="19" t="s">
        <v>54</v>
      </c>
      <c r="B57" s="30"/>
      <c r="C57" s="20" t="s">
        <v>4</v>
      </c>
      <c r="D57" s="21" t="s">
        <v>5</v>
      </c>
      <c r="E57" s="30"/>
      <c r="F57" s="31"/>
      <c r="G57" s="31"/>
    </row>
    <row r="58" spans="1:256" x14ac:dyDescent="0.2">
      <c r="A58" s="1" t="s">
        <v>55</v>
      </c>
      <c r="B58" s="33"/>
      <c r="C58" s="34"/>
      <c r="D58" s="35">
        <f>April!D58+C58</f>
        <v>0</v>
      </c>
      <c r="E58" s="30"/>
      <c r="F58" s="31"/>
      <c r="G58" s="31"/>
    </row>
    <row r="59" spans="1:256" x14ac:dyDescent="0.2">
      <c r="A59" s="1" t="s">
        <v>56</v>
      </c>
      <c r="B59" s="34"/>
      <c r="C59" s="34">
        <f>4220+2170</f>
        <v>6390</v>
      </c>
      <c r="D59" s="35">
        <f>April!D59+C59</f>
        <v>10035</v>
      </c>
      <c r="E59" s="31"/>
      <c r="F59" s="31"/>
      <c r="G59" s="31"/>
    </row>
    <row r="60" spans="1:256" x14ac:dyDescent="0.2">
      <c r="A60" s="1" t="s">
        <v>57</v>
      </c>
      <c r="B60" s="34"/>
      <c r="C60" s="34"/>
      <c r="D60" s="35">
        <f>April!D60+C60</f>
        <v>0</v>
      </c>
      <c r="E60" s="31"/>
      <c r="F60" s="31"/>
      <c r="G60" s="31"/>
    </row>
    <row r="61" spans="1:256" x14ac:dyDescent="0.2">
      <c r="A61" s="1" t="s">
        <v>58</v>
      </c>
      <c r="B61" s="34"/>
      <c r="C61" s="34"/>
      <c r="D61" s="35">
        <f>April!D61+C61</f>
        <v>0</v>
      </c>
      <c r="E61" s="31"/>
      <c r="F61" s="31"/>
      <c r="G61" s="31"/>
    </row>
    <row r="62" spans="1:256" x14ac:dyDescent="0.2">
      <c r="A62" s="1" t="s">
        <v>59</v>
      </c>
      <c r="B62" s="34"/>
      <c r="C62" s="34">
        <f>140+175+45+135+110+175+140+45+110+135+240+280+80+125+200+175+55+150+70+160+280+150+175+150+70+155+280+130+130+240+150+175+150+55+170+125+80+280+160+150+55+175+320+240+280+280+160+150+220+44+190+175+90+65+120+325+77+90+80+175+90+390+80+120+140+175+110+135+45+140+175+135+110+8+25+24+96+38+70+10+78+175+12+20+40+80+8+15+8+96+28+26+34+18+234+1124+2280+1400+62+480+182+9+92+12+56+62+255+1440+1400+150+175+150+80+125+70+280+280+140+229+80+160+60+280+150+90+140+71+375+55+150+70+160+155+280+190+150+55+55+250+280+280+240+160+140+280+240+100+175+160+70+185+425+260+175+175+170+260+70+125+140+125+85+275+280+120+240+70+85+275+160+70+85+275+70+85+225+85+75+360+85+3600</f>
        <v>36648</v>
      </c>
      <c r="D62" s="35">
        <f>April!D62+C62</f>
        <v>156944</v>
      </c>
      <c r="E62" s="31"/>
      <c r="F62" s="31"/>
      <c r="G62" s="31"/>
    </row>
    <row r="63" spans="1:256" x14ac:dyDescent="0.2">
      <c r="A63" s="1" t="s">
        <v>65</v>
      </c>
      <c r="B63" s="34"/>
      <c r="C63" s="34">
        <v>560</v>
      </c>
      <c r="D63" s="35">
        <f>April!D63+C63</f>
        <v>48673</v>
      </c>
      <c r="E63" s="31"/>
      <c r="F63" s="31"/>
      <c r="G63" s="31"/>
    </row>
    <row r="64" spans="1:256" x14ac:dyDescent="0.2">
      <c r="A64" s="1" t="s">
        <v>63</v>
      </c>
      <c r="B64" s="34"/>
      <c r="C64" s="34">
        <f>160+140+130+160+130+18+50+160+140+50+160+160+140+50+150+150+50+160+50+45+160+100</f>
        <v>2513</v>
      </c>
      <c r="D64" s="35">
        <f>April!D64+C64</f>
        <v>85918</v>
      </c>
      <c r="E64" s="31"/>
      <c r="F64" s="31"/>
      <c r="G64" s="31"/>
    </row>
    <row r="65" spans="1:7" x14ac:dyDescent="0.2">
      <c r="A65" s="1" t="s">
        <v>60</v>
      </c>
      <c r="B65" s="31"/>
      <c r="C65" s="34"/>
      <c r="D65" s="35">
        <f>April!D65+C65</f>
        <v>0</v>
      </c>
      <c r="E65" s="31"/>
      <c r="F65" s="31"/>
      <c r="G65" s="31"/>
    </row>
    <row r="66" spans="1:7" x14ac:dyDescent="0.2">
      <c r="A66" s="1" t="s">
        <v>61</v>
      </c>
      <c r="B66" s="31"/>
      <c r="C66" s="34">
        <f>75+103+132+150+122+260+178+49+250+49+250+110+130+178+163+58+150+220+178+15+85+150+158+160+178+234+140+64+136+1320+600</f>
        <v>6045</v>
      </c>
      <c r="D66" s="35">
        <f>April!D66+C66</f>
        <v>25633</v>
      </c>
      <c r="E66" s="31"/>
      <c r="F66" s="31"/>
      <c r="G66" s="31"/>
    </row>
    <row r="67" spans="1:7" x14ac:dyDescent="0.2">
      <c r="A67" s="1" t="s">
        <v>62</v>
      </c>
      <c r="B67" s="31"/>
      <c r="C67" s="34">
        <v>850</v>
      </c>
      <c r="D67" s="35">
        <f>April!D67+C67</f>
        <v>5250</v>
      </c>
      <c r="E67" s="31"/>
      <c r="F67" s="31"/>
      <c r="G67" s="31"/>
    </row>
    <row r="68" spans="1:7" x14ac:dyDescent="0.2">
      <c r="C68" s="23"/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0" zoomScaleNormal="70" workbookViewId="0">
      <pane ySplit="6" topLeftCell="A45" activePane="bottomLeft" state="frozen"/>
      <selection pane="bottomLeft" activeCell="A54" sqref="A54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2.5546875" bestFit="1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62"/>
      <c r="C2" s="31"/>
      <c r="D2" s="62"/>
      <c r="E2" s="31"/>
      <c r="F2" t="s">
        <v>71</v>
      </c>
      <c r="I2" s="2"/>
    </row>
    <row r="3" spans="1:256" ht="15.75" x14ac:dyDescent="0.25">
      <c r="F3" t="s">
        <v>77</v>
      </c>
      <c r="I3" s="2"/>
    </row>
    <row r="4" spans="1:256" ht="16.5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ht="15.75" x14ac:dyDescent="0.25">
      <c r="A7" s="11" t="s">
        <v>6</v>
      </c>
      <c r="B7" s="88"/>
      <c r="C7" s="12">
        <f>May!C7+B7</f>
        <v>35996</v>
      </c>
      <c r="D7" s="84"/>
      <c r="E7" s="12">
        <f>May!E7+D7</f>
        <v>0</v>
      </c>
      <c r="F7" s="12"/>
      <c r="G7" s="12">
        <f>May!G7+F7</f>
        <v>0</v>
      </c>
    </row>
    <row r="8" spans="1:256" x14ac:dyDescent="0.2">
      <c r="A8" s="11" t="s">
        <v>64</v>
      </c>
      <c r="B8" s="82">
        <f>1</f>
        <v>1</v>
      </c>
      <c r="C8" s="12">
        <f>May!C8+B8</f>
        <v>1</v>
      </c>
      <c r="D8" s="84">
        <f>1+1+13+4</f>
        <v>19</v>
      </c>
      <c r="E8" s="12">
        <f>May!E8+D8</f>
        <v>19</v>
      </c>
      <c r="F8" s="12"/>
      <c r="G8" s="12">
        <f>May!G8+F8</f>
        <v>0</v>
      </c>
    </row>
    <row r="9" spans="1:256" x14ac:dyDescent="0.2">
      <c r="A9" s="11" t="s">
        <v>7</v>
      </c>
      <c r="B9" s="79">
        <f>700+750+500+575+650+1100+1100+1100+1100+1100+1100+1100+300+800+550+400+700+480+750+550+500+22925</f>
        <v>38830</v>
      </c>
      <c r="C9" s="12">
        <f>May!C9+B9</f>
        <v>187309</v>
      </c>
      <c r="D9" s="81">
        <f>1+7+14+8</f>
        <v>30</v>
      </c>
      <c r="E9" s="12">
        <f>May!E9+D9</f>
        <v>40</v>
      </c>
      <c r="F9" s="12"/>
      <c r="G9" s="12">
        <f>May!G9+F9</f>
        <v>0</v>
      </c>
    </row>
    <row r="10" spans="1:256" x14ac:dyDescent="0.2">
      <c r="A10" s="11" t="s">
        <v>8</v>
      </c>
      <c r="B10" s="82"/>
      <c r="C10" s="12">
        <f>May!C10+B10</f>
        <v>0</v>
      </c>
      <c r="D10" s="84">
        <f>16+9+1+6+10</f>
        <v>42</v>
      </c>
      <c r="E10" s="12">
        <f>May!E10+D10</f>
        <v>44</v>
      </c>
      <c r="F10" s="12"/>
      <c r="G10" s="12">
        <f>May!G10+F10</f>
        <v>0</v>
      </c>
    </row>
    <row r="11" spans="1:256" ht="15.75" thickBot="1" x14ac:dyDescent="0.25">
      <c r="A11" s="13" t="s">
        <v>52</v>
      </c>
      <c r="B11" s="82">
        <f>273736</f>
        <v>273736</v>
      </c>
      <c r="C11" s="12">
        <f>May!C11+B11</f>
        <v>1603784</v>
      </c>
      <c r="D11" s="84">
        <v>377</v>
      </c>
      <c r="E11" s="12">
        <f>May!E11+D11</f>
        <v>4829</v>
      </c>
      <c r="F11" s="12">
        <v>12309</v>
      </c>
      <c r="G11" s="12">
        <f>May!G11+F11</f>
        <v>72769</v>
      </c>
    </row>
    <row r="12" spans="1:256" ht="15.75" thickTop="1" x14ac:dyDescent="0.2">
      <c r="A12" s="11" t="s">
        <v>9</v>
      </c>
      <c r="B12" s="79">
        <f>900+1250+1100+450+650+300+1350+2500+2400+2140+2100+2100+2200+330+1770+690+1710+2050+400+1300+1200+1200+1150+1150+2400+2350+2000+360+1750+350+1595+905+2500+2450+2400+1050+1600+2500+1300+1200+1300+400+500+500+1175+1175+1200+50582</f>
        <v>115932</v>
      </c>
      <c r="C12" s="12">
        <f>May!C12+B12</f>
        <v>726760</v>
      </c>
      <c r="D12" s="84">
        <f>2+3</f>
        <v>5</v>
      </c>
      <c r="E12" s="12">
        <f>May!E12+D12</f>
        <v>355</v>
      </c>
      <c r="F12" s="12"/>
      <c r="G12" s="12">
        <f>May!G12+F12</f>
        <v>0</v>
      </c>
    </row>
    <row r="13" spans="1:256" x14ac:dyDescent="0.2">
      <c r="A13" s="11" t="s">
        <v>10</v>
      </c>
      <c r="B13" s="79"/>
      <c r="C13" s="12">
        <f>May!C13+B13</f>
        <v>0</v>
      </c>
      <c r="D13" s="84"/>
      <c r="E13" s="12">
        <f>May!E13+D13</f>
        <v>0</v>
      </c>
      <c r="F13" s="12"/>
      <c r="G13" s="12">
        <f>May!G13+F13</f>
        <v>0</v>
      </c>
    </row>
    <row r="14" spans="1:256" x14ac:dyDescent="0.2">
      <c r="A14" s="11" t="s">
        <v>11</v>
      </c>
      <c r="B14" s="79"/>
      <c r="C14" s="12">
        <f>May!C14+B14</f>
        <v>0</v>
      </c>
      <c r="D14" s="84"/>
      <c r="E14" s="12">
        <f>May!E14+D14</f>
        <v>0</v>
      </c>
      <c r="F14" s="12"/>
      <c r="G14" s="12">
        <f>May!G14+F14</f>
        <v>0</v>
      </c>
    </row>
    <row r="15" spans="1:256" x14ac:dyDescent="0.2">
      <c r="A15" s="11" t="s">
        <v>12</v>
      </c>
      <c r="B15" s="79"/>
      <c r="C15" s="12">
        <f>May!C15+B15</f>
        <v>0</v>
      </c>
      <c r="D15" s="84"/>
      <c r="E15" s="12">
        <f>May!E15+D15</f>
        <v>0</v>
      </c>
      <c r="F15" s="12"/>
      <c r="G15" s="12">
        <f>May!G15+F15</f>
        <v>0</v>
      </c>
    </row>
    <row r="16" spans="1:256" x14ac:dyDescent="0.2">
      <c r="A16" s="11" t="s">
        <v>13</v>
      </c>
      <c r="B16" s="79">
        <f>2250+2250+2100</f>
        <v>6600</v>
      </c>
      <c r="C16" s="12">
        <f>May!C16+B16</f>
        <v>30345</v>
      </c>
      <c r="D16" s="84"/>
      <c r="E16" s="12">
        <f>May!E16+D16</f>
        <v>0</v>
      </c>
      <c r="F16" s="12"/>
      <c r="G16" s="12">
        <f>May!G16+F16</f>
        <v>0</v>
      </c>
    </row>
    <row r="17" spans="1:7" x14ac:dyDescent="0.2">
      <c r="A17" s="11" t="s">
        <v>14</v>
      </c>
      <c r="B17" s="79"/>
      <c r="C17" s="12">
        <f>May!C17+B17</f>
        <v>0</v>
      </c>
      <c r="D17" s="84">
        <f>2</f>
        <v>2</v>
      </c>
      <c r="E17" s="12">
        <f>May!E17+D17</f>
        <v>2</v>
      </c>
      <c r="F17" s="12"/>
      <c r="G17" s="12">
        <f>May!G17+F17</f>
        <v>0</v>
      </c>
    </row>
    <row r="18" spans="1:7" x14ac:dyDescent="0.2">
      <c r="A18" s="11" t="s">
        <v>15</v>
      </c>
      <c r="B18" s="79">
        <f>550+1397+115+770+1360+784+784+1000+1400+764+1450+1000+1200+1000+1100+1351+25+721+746+748+1080+1240+620+1080+1080+1060+768+534+900+1050+1550+2250+1250+1100+801+1400+797+1450+776+550+550+606+607+375+1060+1060+1060+1303+2100+1000+1500+1500+1400+1000+1000+350+340+125+200+350+350+330+335+340+800+360+1302+607+606+335+165+335+350+350+330+340+340+340+330+340+350+840+840+840+340+340+350+345+200+340+330+350+355+340+340+350+150+340+330+320+145+350+300+350+340+1400+600+460+300+1350+375+1225+336477</f>
        <v>417334</v>
      </c>
      <c r="C18" s="12">
        <f>May!C18+B18</f>
        <v>2079045</v>
      </c>
      <c r="D18" s="84">
        <f>8+170+110+45+45+10+8+8+16+26+15+10+10+17+6+31+7+130+6+1+20+20+350+14+47+100+101+18+33+80</f>
        <v>1462</v>
      </c>
      <c r="E18" s="12">
        <f>May!E18+D18</f>
        <v>11589</v>
      </c>
      <c r="F18" s="12"/>
      <c r="G18" s="12">
        <f>May!G18+F18</f>
        <v>0</v>
      </c>
    </row>
    <row r="19" spans="1:7" x14ac:dyDescent="0.2">
      <c r="A19" s="11" t="s">
        <v>16</v>
      </c>
      <c r="B19" s="82">
        <f>1300+1300+1300+2600+152+16185</f>
        <v>22837</v>
      </c>
      <c r="C19" s="12">
        <f>May!C19+B19</f>
        <v>96153</v>
      </c>
      <c r="D19" s="84">
        <f>1+4+3+8+1+13+10+6+7+4+26+25+13+20+7+50+25+20+18+56+2+8</f>
        <v>327</v>
      </c>
      <c r="E19" s="12">
        <f>May!E19+D19</f>
        <v>1475</v>
      </c>
      <c r="F19" s="12"/>
      <c r="G19" s="12">
        <f>May!G19+F19</f>
        <v>0</v>
      </c>
    </row>
    <row r="20" spans="1:7" x14ac:dyDescent="0.2">
      <c r="A20" s="11" t="s">
        <v>17</v>
      </c>
      <c r="B20" s="82">
        <f>800+2000+1500+621+800+512+6988</f>
        <v>13221</v>
      </c>
      <c r="C20" s="12">
        <f>May!C20+B20</f>
        <v>110431</v>
      </c>
      <c r="D20" s="84">
        <f>4+1+3+12+5+3+1550+7+2+25+4+3+3+150</f>
        <v>1772</v>
      </c>
      <c r="E20" s="12">
        <f>May!E20+D20</f>
        <v>2620</v>
      </c>
      <c r="F20" s="12"/>
      <c r="G20" s="12">
        <f>May!G20+F20</f>
        <v>0</v>
      </c>
    </row>
    <row r="21" spans="1:7" x14ac:dyDescent="0.2">
      <c r="A21" s="11" t="s">
        <v>18</v>
      </c>
      <c r="B21" s="82"/>
      <c r="C21" s="12">
        <f>May!C21+B21</f>
        <v>58</v>
      </c>
      <c r="D21" s="84">
        <f>150+7+8+150</f>
        <v>315</v>
      </c>
      <c r="E21" s="12">
        <f>May!E21+D21</f>
        <v>693</v>
      </c>
      <c r="F21" s="12"/>
      <c r="G21" s="12">
        <f>May!G21+F21</f>
        <v>0</v>
      </c>
    </row>
    <row r="22" spans="1:7" x14ac:dyDescent="0.2">
      <c r="A22" s="11" t="s">
        <v>19</v>
      </c>
      <c r="B22" s="82"/>
      <c r="C22" s="12">
        <f>May!C22+B22</f>
        <v>0</v>
      </c>
      <c r="D22" s="84"/>
      <c r="E22" s="12">
        <f>May!E22+D22</f>
        <v>0</v>
      </c>
      <c r="F22" s="12"/>
      <c r="G22" s="12">
        <f>May!G22+F22</f>
        <v>0</v>
      </c>
    </row>
    <row r="23" spans="1:7" x14ac:dyDescent="0.2">
      <c r="A23" s="11" t="s">
        <v>20</v>
      </c>
      <c r="B23" s="82"/>
      <c r="C23" s="12">
        <f>May!C23+B23</f>
        <v>0</v>
      </c>
      <c r="D23" s="84"/>
      <c r="E23" s="12">
        <f>May!E23+D23</f>
        <v>0</v>
      </c>
      <c r="F23" s="12"/>
      <c r="G23" s="12">
        <f>May!G23+F23</f>
        <v>0</v>
      </c>
    </row>
    <row r="24" spans="1:7" x14ac:dyDescent="0.2">
      <c r="A24" s="11" t="s">
        <v>21</v>
      </c>
      <c r="B24" s="82"/>
      <c r="C24" s="12">
        <f>May!C24+B24</f>
        <v>0</v>
      </c>
      <c r="D24" s="84"/>
      <c r="E24" s="12">
        <f>May!E24+D24</f>
        <v>1</v>
      </c>
      <c r="F24" s="12"/>
      <c r="G24" s="12">
        <f>May!G24+F24</f>
        <v>0</v>
      </c>
    </row>
    <row r="25" spans="1:7" x14ac:dyDescent="0.2">
      <c r="A25" s="11" t="s">
        <v>22</v>
      </c>
      <c r="B25" s="82"/>
      <c r="C25" s="12">
        <f>May!C25+B25</f>
        <v>0</v>
      </c>
      <c r="D25" s="84"/>
      <c r="E25" s="12">
        <f>May!E25+D25</f>
        <v>0</v>
      </c>
      <c r="F25" s="12"/>
      <c r="G25" s="12">
        <f>May!G25+F25</f>
        <v>0</v>
      </c>
    </row>
    <row r="26" spans="1:7" x14ac:dyDescent="0.2">
      <c r="A26" s="11" t="s">
        <v>23</v>
      </c>
      <c r="B26" s="82">
        <f>3275</f>
        <v>3275</v>
      </c>
      <c r="C26" s="12">
        <f>May!C26+B26</f>
        <v>5074</v>
      </c>
      <c r="D26" s="84">
        <f>261+2+1+4+1+6+616</f>
        <v>891</v>
      </c>
      <c r="E26" s="12">
        <f>May!E26+D26</f>
        <v>9607</v>
      </c>
      <c r="F26" s="12"/>
      <c r="G26" s="12">
        <f>May!G26+F26</f>
        <v>0</v>
      </c>
    </row>
    <row r="27" spans="1:7" x14ac:dyDescent="0.2">
      <c r="A27" s="11" t="s">
        <v>24</v>
      </c>
      <c r="B27" s="82">
        <f>488+488+1050+1050+1700+2031+2031+2000+850+850+2400+4000+600+182+830+182+845+252+252+1180+1920+1940+1940+440+490+458+723+24+686+22+2500+500+330+2800+2000+700+2450+850+3270+850+850+600+125+400+625+416+4112+2200+1440+960+625+2400+2200+1900+2150+900+645+2055+2055+4000+2000+2028+675+64+2056+2056+520+350+156+400+270+350+156+625+400+625+1305+280+630+655+525+212+850+1133+1480+2300+850+250+208+625+620+430+240+350+350+402+555+2425+1080+360+850+850+850+350+260+249+480+350+345+520+510+360+230+1300+1309+280+600+1025+280+280+630+660+165+165+1241+420+2825+1298+2660+1972+1330+3960+1320+103044</f>
        <v>242626</v>
      </c>
      <c r="C27" s="12">
        <f>May!C27+B27</f>
        <v>1144364</v>
      </c>
      <c r="D27" s="84">
        <f>40+80+30+109+6+212+9+17+567</f>
        <v>1070</v>
      </c>
      <c r="E27" s="12">
        <f>May!E27+D27</f>
        <v>10798</v>
      </c>
      <c r="F27" s="12"/>
      <c r="G27" s="12">
        <f>May!G27+F27</f>
        <v>6588</v>
      </c>
    </row>
    <row r="28" spans="1:7" x14ac:dyDescent="0.2">
      <c r="A28" s="11" t="s">
        <v>25</v>
      </c>
      <c r="B28" s="82">
        <f>35550</f>
        <v>35550</v>
      </c>
      <c r="C28" s="12">
        <f>May!C28+B28</f>
        <v>232776.46875</v>
      </c>
      <c r="D28" s="84">
        <f>2+3</f>
        <v>5</v>
      </c>
      <c r="E28" s="12">
        <f>May!E28+D28</f>
        <v>5</v>
      </c>
      <c r="F28" s="12"/>
      <c r="G28" s="12">
        <f>May!G28+F28</f>
        <v>0</v>
      </c>
    </row>
    <row r="29" spans="1:7" x14ac:dyDescent="0.2">
      <c r="A29" s="11" t="s">
        <v>26</v>
      </c>
      <c r="B29" s="79">
        <f>960+960+497+480+1346+1440+224+1200+2600+451+1325+652+2909+334+333+333+1200+840+1923+1741+500+1445+800+281+686+686+686+686+686+686+684+2275+620+620+620+620+1400+2195+250+1840+1045+1275+610+540+1100+1200+4802+1425+200+1015+150+950+600+225+580+579+579+1666+1423+1457+1727+1648+600+633+1267+1390+647+2587+1300+2693+673+1320+660+2304+1536+556+1135+556+473+1200+1200+600+675+668+1337+1885+2880+660+980+978+960+1800+1124+1314+558+586+526+376+671+600+575+2480+700+450+188031</f>
        <v>298954</v>
      </c>
      <c r="C29" s="12">
        <f>May!C29+B29</f>
        <v>1622964</v>
      </c>
      <c r="D29" s="84">
        <f>1+1+8+1+1+1+1+3</f>
        <v>17</v>
      </c>
      <c r="E29" s="12">
        <f>May!E29+D29</f>
        <v>784</v>
      </c>
      <c r="F29" s="12"/>
      <c r="G29" s="12">
        <f>May!G29+F29</f>
        <v>30</v>
      </c>
    </row>
    <row r="30" spans="1:7" x14ac:dyDescent="0.2">
      <c r="A30" s="11" t="s">
        <v>27</v>
      </c>
      <c r="B30" s="82"/>
      <c r="C30" s="12">
        <f>May!C30+B30</f>
        <v>23648</v>
      </c>
      <c r="D30" s="84"/>
      <c r="E30" s="12">
        <f>May!E30+D30</f>
        <v>0</v>
      </c>
      <c r="F30" s="12"/>
      <c r="G30" s="12">
        <f>May!G30+F30</f>
        <v>0</v>
      </c>
    </row>
    <row r="31" spans="1:7" x14ac:dyDescent="0.2">
      <c r="A31" s="11" t="s">
        <v>28</v>
      </c>
      <c r="B31" s="82">
        <f>700+650+650+650+750+240+220+970+1250+600+600+600+825+575+500+210+480+300+1325+350+1325+580+1300+950+1325+530+800+480+525+460+450+375+480+520+950+1325+1200+1250+600+1250+750+1440+700+1440+580+800+1600+1800+600+1440+1300+520+1300+480+1300+1300+480+1325+300+580+210+1325+350+1300+1325+525+950+480+460+800+530+460+800+530+480+450+950+600+520+1325+600+375+1250+600+1250+1440+750+1440+700+580+1600+600+2440+1800+1300+480+1300+1300+520+1300+95131</f>
        <v>180281</v>
      </c>
      <c r="C31" s="12">
        <f>May!C31+B31</f>
        <v>1004817</v>
      </c>
      <c r="D31" s="81">
        <f>3+200+12+25+15+3+33+4+14+5+40+1+4+33+5+2+3+13+40+1+4+10</f>
        <v>470</v>
      </c>
      <c r="E31" s="12">
        <f>May!E31+D31</f>
        <v>12852</v>
      </c>
      <c r="F31" s="12"/>
      <c r="G31" s="12">
        <f>May!G31+F31</f>
        <v>0</v>
      </c>
    </row>
    <row r="32" spans="1:7" x14ac:dyDescent="0.2">
      <c r="A32" s="11" t="s">
        <v>29</v>
      </c>
      <c r="B32" s="82"/>
      <c r="C32" s="12">
        <f>May!C32+B32</f>
        <v>0</v>
      </c>
      <c r="D32" s="84">
        <f>1</f>
        <v>1</v>
      </c>
      <c r="E32" s="12">
        <f>May!E32+D32</f>
        <v>1</v>
      </c>
      <c r="F32" s="12"/>
      <c r="G32" s="12">
        <f>May!G32+F32</f>
        <v>0</v>
      </c>
    </row>
    <row r="33" spans="1:7" x14ac:dyDescent="0.2">
      <c r="A33" s="11" t="s">
        <v>30</v>
      </c>
      <c r="B33" s="82"/>
      <c r="C33" s="12">
        <f>May!C33+B33</f>
        <v>0</v>
      </c>
      <c r="D33" s="84"/>
      <c r="E33" s="12">
        <f>May!E33+D33</f>
        <v>0</v>
      </c>
      <c r="F33" s="12"/>
      <c r="G33" s="12">
        <f>May!G33+F33</f>
        <v>0</v>
      </c>
    </row>
    <row r="34" spans="1:7" x14ac:dyDescent="0.2">
      <c r="A34" s="11" t="s">
        <v>31</v>
      </c>
      <c r="B34" s="82"/>
      <c r="C34" s="12">
        <f>May!C34+B34</f>
        <v>0</v>
      </c>
      <c r="D34" s="84"/>
      <c r="E34" s="12">
        <f>May!E34+D34</f>
        <v>0</v>
      </c>
      <c r="F34" s="12"/>
      <c r="G34" s="12">
        <f>May!G34+F34</f>
        <v>0</v>
      </c>
    </row>
    <row r="35" spans="1:7" x14ac:dyDescent="0.2">
      <c r="A35" s="11" t="s">
        <v>32</v>
      </c>
      <c r="B35" s="82"/>
      <c r="C35" s="12">
        <f>May!C35+B35</f>
        <v>0</v>
      </c>
      <c r="D35" s="84"/>
      <c r="E35" s="12">
        <f>May!E35+D35</f>
        <v>0</v>
      </c>
      <c r="F35" s="12"/>
      <c r="G35" s="12">
        <f>May!G35+F35</f>
        <v>0</v>
      </c>
    </row>
    <row r="36" spans="1:7" x14ac:dyDescent="0.2">
      <c r="A36" s="11" t="s">
        <v>33</v>
      </c>
      <c r="B36" s="82"/>
      <c r="C36" s="12">
        <f>May!C36+B36</f>
        <v>0</v>
      </c>
      <c r="D36" s="84"/>
      <c r="E36" s="12">
        <f>May!E36+D36</f>
        <v>0</v>
      </c>
      <c r="F36" s="12"/>
      <c r="G36" s="12">
        <f>May!G36+F36</f>
        <v>0</v>
      </c>
    </row>
    <row r="37" spans="1:7" x14ac:dyDescent="0.2">
      <c r="A37" s="11" t="s">
        <v>34</v>
      </c>
      <c r="B37" s="82">
        <f>550+550+700+250+800+123235</f>
        <v>126085</v>
      </c>
      <c r="C37" s="12">
        <f>May!C37+B37</f>
        <v>810982</v>
      </c>
      <c r="D37" s="84">
        <f>1</f>
        <v>1</v>
      </c>
      <c r="E37" s="12">
        <f>May!E37+D37</f>
        <v>1</v>
      </c>
      <c r="F37" s="12"/>
      <c r="G37" s="12">
        <f>May!G37+F37</f>
        <v>0</v>
      </c>
    </row>
    <row r="38" spans="1:7" x14ac:dyDescent="0.2">
      <c r="A38" s="11" t="s">
        <v>35</v>
      </c>
      <c r="B38" s="82">
        <f>1200+2600+1300+1300+2600+425+425+1000+3000+2600+2600+550+600+160+600+600+150+7500</f>
        <v>29210</v>
      </c>
      <c r="C38" s="12">
        <f>May!C38+B38</f>
        <v>210430</v>
      </c>
      <c r="D38" s="84">
        <f>2+1+2+1+11</f>
        <v>17</v>
      </c>
      <c r="E38" s="12">
        <f>May!E38+D38</f>
        <v>4260</v>
      </c>
      <c r="F38" s="12"/>
      <c r="G38" s="12">
        <f>May!G38+F38</f>
        <v>0</v>
      </c>
    </row>
    <row r="39" spans="1:7" x14ac:dyDescent="0.2">
      <c r="A39" s="11" t="s">
        <v>36</v>
      </c>
      <c r="B39" s="82">
        <f>17896</f>
        <v>17896</v>
      </c>
      <c r="C39" s="12">
        <f>May!C39+B39</f>
        <v>91815</v>
      </c>
      <c r="D39" s="84">
        <f>1+2+3+2+5+1+1+2+362</f>
        <v>379</v>
      </c>
      <c r="E39" s="12">
        <f>May!E39+D39</f>
        <v>6050</v>
      </c>
      <c r="F39" s="12"/>
      <c r="G39" s="12">
        <f>May!G39+F39</f>
        <v>0</v>
      </c>
    </row>
    <row r="40" spans="1:7" x14ac:dyDescent="0.2">
      <c r="A40" s="11" t="s">
        <v>37</v>
      </c>
      <c r="B40" s="82">
        <f>2160+2160+1810+2160+2160+2000+2120+2160+2160+1880+2100+250+177+425+184+500+2100+425+179+225+425+600+250+475+2140+500+2160+1760+1600+2160+2500+1805+1680+2500+860+1185+2120+1610+2160+600+250+2160+400+1980+2160+193488</f>
        <v>256863</v>
      </c>
      <c r="C40" s="12">
        <f>May!C40+B40</f>
        <v>1427591</v>
      </c>
      <c r="D40" s="84">
        <f>1+1+2+7+14+30+3+18+6+6+9+7+2+18+15+1+1+1+1+1+18+8+24+17+7</f>
        <v>218</v>
      </c>
      <c r="E40" s="12">
        <f>May!E40+D40</f>
        <v>218</v>
      </c>
      <c r="F40" s="12"/>
      <c r="G40" s="12">
        <f>May!G40+F40</f>
        <v>0</v>
      </c>
    </row>
    <row r="41" spans="1:7" x14ac:dyDescent="0.2">
      <c r="A41" s="11" t="s">
        <v>38</v>
      </c>
      <c r="B41" s="82"/>
      <c r="C41" s="12">
        <f>May!C41+B41</f>
        <v>0</v>
      </c>
      <c r="D41" s="84"/>
      <c r="E41" s="12">
        <f>May!E41+D41</f>
        <v>0</v>
      </c>
      <c r="F41" s="12"/>
      <c r="G41" s="12">
        <f>May!G41+F41</f>
        <v>0</v>
      </c>
    </row>
    <row r="42" spans="1:7" x14ac:dyDescent="0.2">
      <c r="A42" s="11" t="s">
        <v>39</v>
      </c>
      <c r="B42" s="82"/>
      <c r="C42" s="12">
        <f>May!C42+B42</f>
        <v>9661</v>
      </c>
      <c r="D42" s="84">
        <f>1+1+1+1+9+1+1+344</f>
        <v>359</v>
      </c>
      <c r="E42" s="12">
        <f>May!E42+D42</f>
        <v>3665</v>
      </c>
      <c r="F42" s="12"/>
      <c r="G42" s="12">
        <f>May!G42+F42</f>
        <v>0</v>
      </c>
    </row>
    <row r="43" spans="1:7" x14ac:dyDescent="0.2">
      <c r="A43" s="11" t="s">
        <v>40</v>
      </c>
      <c r="B43" s="82"/>
      <c r="C43" s="12">
        <f>May!C43+B43</f>
        <v>0</v>
      </c>
      <c r="D43" s="84"/>
      <c r="E43" s="12">
        <f>May!E43+D43</f>
        <v>0</v>
      </c>
      <c r="F43" s="12"/>
      <c r="G43" s="12">
        <f>May!G43+F43</f>
        <v>0</v>
      </c>
    </row>
    <row r="44" spans="1:7" x14ac:dyDescent="0.2">
      <c r="A44" s="11" t="s">
        <v>41</v>
      </c>
      <c r="B44" s="82"/>
      <c r="C44" s="12">
        <f>May!C44+B44</f>
        <v>0</v>
      </c>
      <c r="D44" s="84"/>
      <c r="E44" s="12">
        <f>May!E44+D44</f>
        <v>0</v>
      </c>
      <c r="F44" s="12"/>
      <c r="G44" s="12">
        <f>May!G44+F44</f>
        <v>0</v>
      </c>
    </row>
    <row r="45" spans="1:7" x14ac:dyDescent="0.2">
      <c r="A45" s="11" t="s">
        <v>42</v>
      </c>
      <c r="B45" s="79">
        <f>600+600+600+600+520+546+552+576+700+700+525+525+630+630+630+651+631+1000+19085</f>
        <v>30301</v>
      </c>
      <c r="C45" s="12">
        <f>May!C45+B45</f>
        <v>260333</v>
      </c>
      <c r="D45" s="84">
        <f>163+1+40+7+1+21</f>
        <v>233</v>
      </c>
      <c r="E45" s="12">
        <f>May!E45+D45</f>
        <v>6720</v>
      </c>
      <c r="F45" s="12"/>
      <c r="G45" s="12">
        <f>May!G45+F45</f>
        <v>0</v>
      </c>
    </row>
    <row r="46" spans="1:7" x14ac:dyDescent="0.2">
      <c r="A46" s="11" t="s">
        <v>43</v>
      </c>
      <c r="B46" s="82">
        <f>400+3</f>
        <v>403</v>
      </c>
      <c r="C46" s="12">
        <f>May!C46+B46</f>
        <v>403</v>
      </c>
      <c r="D46" s="84">
        <f>1+112</f>
        <v>113</v>
      </c>
      <c r="E46" s="12">
        <f>May!E46+D46</f>
        <v>113</v>
      </c>
      <c r="F46" s="12"/>
      <c r="G46" s="12">
        <f>May!G46+F46</f>
        <v>0</v>
      </c>
    </row>
    <row r="47" spans="1:7" x14ac:dyDescent="0.2">
      <c r="A47" s="11" t="s">
        <v>44</v>
      </c>
      <c r="B47" s="82">
        <f>62498</f>
        <v>62498</v>
      </c>
      <c r="C47" s="12">
        <f>May!C47+B47</f>
        <v>312125</v>
      </c>
      <c r="D47" s="84">
        <f>1+1+4+17+14+15+6+12+5+2+9</f>
        <v>86</v>
      </c>
      <c r="E47" s="12">
        <f>May!E47+D47</f>
        <v>201</v>
      </c>
      <c r="F47" s="12"/>
      <c r="G47" s="12">
        <f>May!G47+F47</f>
        <v>0</v>
      </c>
    </row>
    <row r="48" spans="1:7" x14ac:dyDescent="0.2">
      <c r="A48" s="11" t="s">
        <v>45</v>
      </c>
      <c r="B48" s="82">
        <f>33052</f>
        <v>33052</v>
      </c>
      <c r="C48" s="12">
        <f>May!C48+B48</f>
        <v>216576</v>
      </c>
      <c r="D48" s="84"/>
      <c r="E48" s="12">
        <f>May!E48+D48</f>
        <v>0</v>
      </c>
      <c r="F48" s="12"/>
      <c r="G48" s="12">
        <f>May!G48+F48</f>
        <v>41</v>
      </c>
    </row>
    <row r="49" spans="1:256" x14ac:dyDescent="0.2">
      <c r="A49" s="11" t="s">
        <v>46</v>
      </c>
      <c r="B49" s="82"/>
      <c r="C49" s="12">
        <f>May!C49+B49</f>
        <v>0</v>
      </c>
      <c r="D49" s="84"/>
      <c r="E49" s="12">
        <f>May!E49+D49</f>
        <v>0</v>
      </c>
      <c r="F49" s="12"/>
      <c r="G49" s="12">
        <f>May!G49+F49</f>
        <v>0</v>
      </c>
    </row>
    <row r="50" spans="1:256" x14ac:dyDescent="0.2">
      <c r="A50" s="11" t="s">
        <v>47</v>
      </c>
      <c r="B50" s="82"/>
      <c r="C50" s="12">
        <f>May!C50+B50</f>
        <v>0</v>
      </c>
      <c r="D50" s="84"/>
      <c r="E50" s="12">
        <f>May!E50+D50</f>
        <v>0</v>
      </c>
      <c r="F50" s="12"/>
      <c r="G50" s="12">
        <f>May!G50+F50</f>
        <v>0</v>
      </c>
    </row>
    <row r="51" spans="1:256" x14ac:dyDescent="0.2">
      <c r="A51" s="11" t="s">
        <v>48</v>
      </c>
      <c r="B51" s="82"/>
      <c r="C51" s="12">
        <f>May!C51+B51</f>
        <v>0</v>
      </c>
      <c r="D51" s="84"/>
      <c r="E51" s="12">
        <f>May!E51+D51</f>
        <v>0</v>
      </c>
      <c r="F51" s="12"/>
      <c r="G51" s="12">
        <f>May!G51+F51</f>
        <v>0</v>
      </c>
    </row>
    <row r="52" spans="1:256" x14ac:dyDescent="0.2">
      <c r="A52" s="11" t="s">
        <v>49</v>
      </c>
      <c r="B52" s="82"/>
      <c r="C52" s="12">
        <f>May!C52+B52</f>
        <v>0</v>
      </c>
      <c r="D52" s="84"/>
      <c r="E52" s="12">
        <f>May!E52+D52</f>
        <v>0</v>
      </c>
      <c r="F52" s="12"/>
      <c r="G52" s="12">
        <f>May!G52+F52</f>
        <v>0</v>
      </c>
    </row>
    <row r="53" spans="1:256" x14ac:dyDescent="0.2">
      <c r="A53" s="11" t="s">
        <v>50</v>
      </c>
      <c r="B53" s="82">
        <f>450+275+375+400+600+200+275+75+300+200+240+200+250+125+300+200+450</f>
        <v>4915</v>
      </c>
      <c r="C53" s="12">
        <f>May!C53+B53</f>
        <v>87109</v>
      </c>
      <c r="D53" s="84">
        <f>1+8+7+8+9+6</f>
        <v>39</v>
      </c>
      <c r="E53" s="12">
        <f>May!E53+D53</f>
        <v>2722</v>
      </c>
      <c r="F53" s="12"/>
      <c r="G53" s="12">
        <f>May!G53+F53</f>
        <v>0</v>
      </c>
    </row>
    <row r="54" spans="1:256" ht="15.75" thickBot="1" x14ac:dyDescent="0.25">
      <c r="A54" s="11" t="s">
        <v>51</v>
      </c>
      <c r="B54" s="82">
        <f>1620+2880+480+1000+300+525+425+2360+599+2020+350+1880+1680+1200+1160+2360+1000+3000</f>
        <v>24839</v>
      </c>
      <c r="C54" s="12">
        <f>May!C54+B54</f>
        <v>147291</v>
      </c>
      <c r="D54" s="84">
        <f>160</f>
        <v>160</v>
      </c>
      <c r="E54" s="12">
        <f>May!E54+D54</f>
        <v>160</v>
      </c>
      <c r="F54" s="12"/>
      <c r="G54" s="12">
        <f>May!G54+F54</f>
        <v>0</v>
      </c>
    </row>
    <row r="55" spans="1:256" ht="26.1" customHeight="1" thickBot="1" x14ac:dyDescent="0.25">
      <c r="A55" s="14" t="s">
        <v>53</v>
      </c>
      <c r="B55" s="15">
        <f>SUM(B7:B54)</f>
        <v>2235239</v>
      </c>
      <c r="C55" s="15">
        <f>May!C55+B55</f>
        <v>12477841.46875</v>
      </c>
      <c r="D55" s="15">
        <f>SUM(D7:D54)</f>
        <v>8410</v>
      </c>
      <c r="E55" s="15">
        <f>May!E55+D55</f>
        <v>79824</v>
      </c>
      <c r="F55" s="15">
        <f>SUM(F7:F54)</f>
        <v>12309</v>
      </c>
      <c r="G55" s="15">
        <f>May!G55+F55</f>
        <v>79428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/>
      <c r="D58" s="24">
        <f>May!D58+C58</f>
        <v>0</v>
      </c>
      <c r="E58" s="18"/>
    </row>
    <row r="59" spans="1:256" x14ac:dyDescent="0.2">
      <c r="A59" s="1" t="s">
        <v>56</v>
      </c>
      <c r="B59" s="23"/>
      <c r="C59" s="23">
        <f>2100</f>
        <v>2100</v>
      </c>
      <c r="D59" s="24">
        <f>May!D59+C59</f>
        <v>12135</v>
      </c>
    </row>
    <row r="60" spans="1:256" x14ac:dyDescent="0.2">
      <c r="A60" s="1" t="s">
        <v>57</v>
      </c>
      <c r="B60" s="23"/>
      <c r="C60" s="23"/>
      <c r="D60" s="24">
        <f>May!D60+C60</f>
        <v>0</v>
      </c>
    </row>
    <row r="61" spans="1:256" x14ac:dyDescent="0.2">
      <c r="A61" s="1" t="s">
        <v>58</v>
      </c>
      <c r="B61" s="23"/>
      <c r="C61" s="23"/>
      <c r="D61" s="24">
        <f>May!D61+C61</f>
        <v>0</v>
      </c>
    </row>
    <row r="62" spans="1:256" x14ac:dyDescent="0.2">
      <c r="A62" s="1" t="s">
        <v>59</v>
      </c>
      <c r="B62" s="23"/>
      <c r="C62" s="23">
        <f>90+75+150+25+120+60+110+135+125+280+45+175+280+140+90+55+80+280+190+60+90+250+140+55+82+110+100+110+140+175+45+110+135+300+280+110+280+135+45+175+300+140+110+300+135+45+280+140+175+55+90+70+20+55+90+160+50+75+90+65+125+40+56+90+120+50+55+150+55+90+45+25+90+90+280+110+45+140+175+380+110+6+116+30+18+8+40+96+18+8+175+250+115+60+80+25+905+685+135+660+755+1450+1400+970+1110+204+1124+2280+1700+2525+40+4500</f>
        <v>31686</v>
      </c>
      <c r="D62" s="24">
        <f>May!D62+C62</f>
        <v>188630</v>
      </c>
    </row>
    <row r="63" spans="1:256" x14ac:dyDescent="0.2">
      <c r="A63" s="1" t="s">
        <v>65</v>
      </c>
      <c r="B63" s="23"/>
      <c r="C63" s="23">
        <f>310+20+240+273+30+75+100+70+106+45+90+270+35+75+170+80+644+75+170+568+30+310+90+52+45+80+45+90+106+70+170+80+506+12+100+75+310+65+90+52+240+32+75+170+310+291+35+270+30+224+75+180+50+75+170+80+106+45+90+270+35+310+12+523+262+75+240+52+90+45+30+80+170+75+310+432+560</f>
        <v>11943</v>
      </c>
      <c r="D63" s="24">
        <f>May!D63+C63</f>
        <v>60616</v>
      </c>
    </row>
    <row r="64" spans="1:256" x14ac:dyDescent="0.2">
      <c r="A64" s="1" t="s">
        <v>63</v>
      </c>
      <c r="B64" s="23"/>
      <c r="C64" s="23">
        <f>140+84</f>
        <v>224</v>
      </c>
      <c r="D64" s="24">
        <f>May!D64+C64</f>
        <v>86142</v>
      </c>
    </row>
    <row r="65" spans="1:4" x14ac:dyDescent="0.2">
      <c r="A65" s="1" t="s">
        <v>60</v>
      </c>
      <c r="C65" s="23"/>
      <c r="D65" s="24">
        <f>May!D65+C65</f>
        <v>0</v>
      </c>
    </row>
    <row r="66" spans="1:4" x14ac:dyDescent="0.2">
      <c r="A66" s="1" t="s">
        <v>61</v>
      </c>
      <c r="C66" s="23">
        <f>150+90+160+178+64+50+70+150+100+90+178+150+57+80+98+70+180+150+640+140+178+230+70+110+150+50+42+100+178+60+94+70+150+130+70+178+120+37+480</f>
        <v>5342</v>
      </c>
      <c r="D66" s="24">
        <f>May!D66+C66</f>
        <v>30975</v>
      </c>
    </row>
    <row r="67" spans="1:4" x14ac:dyDescent="0.2">
      <c r="A67" s="1" t="s">
        <v>62</v>
      </c>
      <c r="C67" s="23">
        <f>850</f>
        <v>850</v>
      </c>
      <c r="D67" s="24">
        <f>May!D67+C67</f>
        <v>6100</v>
      </c>
    </row>
  </sheetData>
  <phoneticPr fontId="0" type="noConversion"/>
  <pageMargins left="0.5" right="0.5" top="0.5" bottom="0.5" header="0.5" footer="0.5"/>
  <pageSetup scale="71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0" zoomScaleNormal="70" workbookViewId="0">
      <pane ySplit="6" topLeftCell="A50" activePane="bottomLeft" state="frozen"/>
      <selection pane="bottomLeft" activeCell="B62" sqref="B62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4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72</v>
      </c>
      <c r="I2" s="2"/>
    </row>
    <row r="3" spans="1:256" ht="15.75" x14ac:dyDescent="0.25">
      <c r="F3" t="s">
        <v>77</v>
      </c>
      <c r="I3" s="2"/>
    </row>
    <row r="4" spans="1:256" ht="16.5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29" t="s">
        <v>6</v>
      </c>
      <c r="B7" s="86">
        <f>465+535+1000+1000+883+883+883+883+883+883+855+223+855+740+260</f>
        <v>11231</v>
      </c>
      <c r="C7" s="27">
        <f>June!C7+B7</f>
        <v>47227</v>
      </c>
      <c r="D7" s="87"/>
      <c r="E7" s="27">
        <f>June!E7+D7</f>
        <v>0</v>
      </c>
      <c r="F7" s="60"/>
      <c r="G7" s="27">
        <f>June!G7+F7</f>
        <v>0</v>
      </c>
    </row>
    <row r="8" spans="1:256" x14ac:dyDescent="0.2">
      <c r="A8" s="29" t="s">
        <v>64</v>
      </c>
      <c r="B8" s="86"/>
      <c r="C8" s="27">
        <f>June!C8+B8</f>
        <v>1</v>
      </c>
      <c r="D8" s="87"/>
      <c r="E8" s="27">
        <f>June!E8+D8</f>
        <v>19</v>
      </c>
      <c r="F8" s="60"/>
      <c r="G8" s="27">
        <f>June!G8+F8</f>
        <v>0</v>
      </c>
    </row>
    <row r="9" spans="1:256" x14ac:dyDescent="0.2">
      <c r="A9" s="29" t="s">
        <v>7</v>
      </c>
      <c r="B9" s="86">
        <f>575+725+700+500+1500+780+766+600+750+625+700+550+475+1100+1100+1100+300+800+1100+1100+500+600+1100+600+600+750+800</f>
        <v>20796</v>
      </c>
      <c r="C9" s="27">
        <f>June!C9+B9</f>
        <v>208105</v>
      </c>
      <c r="D9" s="87"/>
      <c r="E9" s="27">
        <f>June!E9+D9</f>
        <v>40</v>
      </c>
      <c r="F9" s="60"/>
      <c r="G9" s="27">
        <f>June!G9+F9</f>
        <v>0</v>
      </c>
    </row>
    <row r="10" spans="1:256" x14ac:dyDescent="0.2">
      <c r="A10" s="29" t="s">
        <v>8</v>
      </c>
      <c r="B10" s="86"/>
      <c r="C10" s="27">
        <f>June!C10+B10</f>
        <v>0</v>
      </c>
      <c r="D10" s="87">
        <f>3</f>
        <v>3</v>
      </c>
      <c r="E10" s="27">
        <f>June!E10+D10</f>
        <v>47</v>
      </c>
      <c r="F10" s="60"/>
      <c r="G10" s="27">
        <f>June!G10+F10</f>
        <v>0</v>
      </c>
    </row>
    <row r="11" spans="1:256" x14ac:dyDescent="0.2">
      <c r="A11" s="102" t="s">
        <v>52</v>
      </c>
      <c r="B11" s="79">
        <f>279729</f>
        <v>279729</v>
      </c>
      <c r="C11" s="27">
        <f>June!C11+B11</f>
        <v>1883513</v>
      </c>
      <c r="D11" s="87">
        <f>413</f>
        <v>413</v>
      </c>
      <c r="E11" s="27">
        <f>June!E11+D11</f>
        <v>5242</v>
      </c>
      <c r="F11" s="60">
        <f>13865</f>
        <v>13865</v>
      </c>
      <c r="G11" s="27">
        <f>June!G11+F11</f>
        <v>86634</v>
      </c>
    </row>
    <row r="12" spans="1:256" x14ac:dyDescent="0.2">
      <c r="A12" s="29" t="s">
        <v>9</v>
      </c>
      <c r="B12" s="86">
        <f>1300+1150+500+1100+1100+800+1150+350+1700+1000+1100+1600+34+1100+1150+1300+1250+500+1100+2200+300+2250+2650+895+1530+2425+2040+610+840+1760+1200+1100+1700+1100+900+900+1300+1300+300+1100+1100+900+1700+1100+49950</f>
        <v>102434</v>
      </c>
      <c r="C12" s="27">
        <f>June!C12+B12</f>
        <v>829194</v>
      </c>
      <c r="D12" s="87">
        <f>4+5</f>
        <v>9</v>
      </c>
      <c r="E12" s="27">
        <f>June!E12+D12</f>
        <v>364</v>
      </c>
      <c r="F12" s="60"/>
      <c r="G12" s="27">
        <f>June!G12+F12</f>
        <v>0</v>
      </c>
    </row>
    <row r="13" spans="1:256" x14ac:dyDescent="0.2">
      <c r="A13" s="29" t="s">
        <v>10</v>
      </c>
      <c r="B13" s="86"/>
      <c r="C13" s="27">
        <f>June!C13+B13</f>
        <v>0</v>
      </c>
      <c r="D13" s="87"/>
      <c r="E13" s="27">
        <f>June!E13+D13</f>
        <v>0</v>
      </c>
      <c r="F13" s="60"/>
      <c r="G13" s="27">
        <f>June!G13+F13</f>
        <v>0</v>
      </c>
    </row>
    <row r="14" spans="1:256" x14ac:dyDescent="0.2">
      <c r="A14" s="29" t="s">
        <v>11</v>
      </c>
      <c r="B14" s="86"/>
      <c r="C14" s="27">
        <f>June!C14+B14</f>
        <v>0</v>
      </c>
      <c r="D14" s="87"/>
      <c r="E14" s="27">
        <f>June!E14+D14</f>
        <v>0</v>
      </c>
      <c r="F14" s="60"/>
      <c r="G14" s="27">
        <f>June!G14+F14</f>
        <v>0</v>
      </c>
    </row>
    <row r="15" spans="1:256" x14ac:dyDescent="0.2">
      <c r="A15" s="29" t="s">
        <v>12</v>
      </c>
      <c r="B15" s="86"/>
      <c r="C15" s="27">
        <f>June!C15+B15</f>
        <v>0</v>
      </c>
      <c r="D15" s="87"/>
      <c r="E15" s="27">
        <f>June!E15+D15</f>
        <v>0</v>
      </c>
      <c r="F15" s="60"/>
      <c r="G15" s="27">
        <f>June!G15+F15</f>
        <v>0</v>
      </c>
    </row>
    <row r="16" spans="1:256" x14ac:dyDescent="0.2">
      <c r="A16" s="29" t="s">
        <v>13</v>
      </c>
      <c r="B16" s="86">
        <f>1200+1150+2207+700</f>
        <v>5257</v>
      </c>
      <c r="C16" s="27">
        <f>June!C16+B16</f>
        <v>35602</v>
      </c>
      <c r="D16" s="87"/>
      <c r="E16" s="27">
        <f>June!E16+D16</f>
        <v>0</v>
      </c>
      <c r="F16" s="60"/>
      <c r="G16" s="27">
        <f>June!G16+F16</f>
        <v>0</v>
      </c>
    </row>
    <row r="17" spans="1:7" x14ac:dyDescent="0.2">
      <c r="A17" s="29" t="s">
        <v>14</v>
      </c>
      <c r="B17" s="86"/>
      <c r="C17" s="27">
        <f>June!C17+B17</f>
        <v>0</v>
      </c>
      <c r="D17" s="87"/>
      <c r="E17" s="27">
        <f>June!E17+D17</f>
        <v>2</v>
      </c>
      <c r="F17" s="60"/>
      <c r="G17" s="27">
        <f>June!G17+F17</f>
        <v>0</v>
      </c>
    </row>
    <row r="18" spans="1:7" x14ac:dyDescent="0.2">
      <c r="A18" s="29" t="s">
        <v>15</v>
      </c>
      <c r="B18" s="86">
        <f>416+1470+1470+319+950+400+1000+300+250+1250+850+1250+811+250+1250+840+840+840+1450+1225+1225+500+300+250+1100+1650+821+1550+250+1200+1200+960+960+960+960+960+1650+1500+768+250+1150+1225+1200+1060+1200+610+610+1220+1570+1100+1100+753+774+420+547+665+352+308+620+566+700+1400+1300+1300+1100+1100+1060+600+600+1200+1060+650+300+850+750+340+320+350+340+350+335+330+621+330+340+330+330+240+175+350+100+600+340+360+350+631+345+350+340+340+575+190+350+340+340+350+335+350+2250+1000+1250+1650+1450+840+776+1450+350+650+345+1060+300+85+300+500+850+294665</f>
        <v>388903</v>
      </c>
      <c r="C18" s="27">
        <f>June!C18+B18</f>
        <v>2467948</v>
      </c>
      <c r="D18" s="87">
        <f>1+3+1+4+131+40+150+173+150+3+6+6+9+15+17+14+5+13+70+210+181</f>
        <v>1202</v>
      </c>
      <c r="E18" s="27">
        <f>June!E18+D18</f>
        <v>12791</v>
      </c>
      <c r="F18" s="60"/>
      <c r="G18" s="27">
        <f>June!G18+F18</f>
        <v>0</v>
      </c>
    </row>
    <row r="19" spans="1:7" x14ac:dyDescent="0.2">
      <c r="A19" s="29" t="s">
        <v>16</v>
      </c>
      <c r="B19" s="86">
        <f>500+8413</f>
        <v>8913</v>
      </c>
      <c r="C19" s="27">
        <f>June!C19+B19</f>
        <v>105066</v>
      </c>
      <c r="D19" s="87">
        <f>15</f>
        <v>15</v>
      </c>
      <c r="E19" s="27">
        <f>June!E19+D19</f>
        <v>1490</v>
      </c>
      <c r="F19" s="60"/>
      <c r="G19" s="27">
        <f>June!G19+F19</f>
        <v>0</v>
      </c>
    </row>
    <row r="20" spans="1:7" x14ac:dyDescent="0.2">
      <c r="A20" s="29" t="s">
        <v>17</v>
      </c>
      <c r="B20" s="86">
        <f>60+159+2000+800+800+800+1500+1400+12954</f>
        <v>20473</v>
      </c>
      <c r="C20" s="27">
        <f>June!C20+B20</f>
        <v>130904</v>
      </c>
      <c r="D20" s="87">
        <f>1+2+210</f>
        <v>213</v>
      </c>
      <c r="E20" s="27">
        <f>June!E20+D20</f>
        <v>2833</v>
      </c>
      <c r="F20" s="60"/>
      <c r="G20" s="27">
        <f>June!G20+F20</f>
        <v>0</v>
      </c>
    </row>
    <row r="21" spans="1:7" x14ac:dyDescent="0.2">
      <c r="A21" s="29" t="s">
        <v>18</v>
      </c>
      <c r="B21" s="86"/>
      <c r="C21" s="27">
        <f>June!C21+B21</f>
        <v>58</v>
      </c>
      <c r="D21" s="87">
        <f>3+1+7</f>
        <v>11</v>
      </c>
      <c r="E21" s="27">
        <f>June!E21+D21</f>
        <v>704</v>
      </c>
      <c r="F21" s="60"/>
      <c r="G21" s="27">
        <f>June!G21+F21</f>
        <v>0</v>
      </c>
    </row>
    <row r="22" spans="1:7" x14ac:dyDescent="0.2">
      <c r="A22" s="29" t="s">
        <v>19</v>
      </c>
      <c r="B22" s="86"/>
      <c r="C22" s="27">
        <f>June!C22+B22</f>
        <v>0</v>
      </c>
      <c r="D22" s="87"/>
      <c r="E22" s="27">
        <f>June!E22+D22</f>
        <v>0</v>
      </c>
      <c r="F22" s="60"/>
      <c r="G22" s="27">
        <f>June!G22+F22</f>
        <v>0</v>
      </c>
    </row>
    <row r="23" spans="1:7" x14ac:dyDescent="0.2">
      <c r="A23" s="29" t="s">
        <v>20</v>
      </c>
      <c r="B23" s="86"/>
      <c r="C23" s="27">
        <f>June!C23+B23</f>
        <v>0</v>
      </c>
      <c r="D23" s="87"/>
      <c r="E23" s="27">
        <f>June!E23+D23</f>
        <v>0</v>
      </c>
      <c r="F23" s="60"/>
      <c r="G23" s="27">
        <f>June!G23+F23</f>
        <v>0</v>
      </c>
    </row>
    <row r="24" spans="1:7" x14ac:dyDescent="0.2">
      <c r="A24" s="29" t="s">
        <v>21</v>
      </c>
      <c r="B24" s="86"/>
      <c r="C24" s="27">
        <f>June!C24+B24</f>
        <v>0</v>
      </c>
      <c r="D24" s="87"/>
      <c r="E24" s="27">
        <f>June!E24+D24</f>
        <v>1</v>
      </c>
      <c r="F24" s="60"/>
      <c r="G24" s="27">
        <f>June!G24+F24</f>
        <v>0</v>
      </c>
    </row>
    <row r="25" spans="1:7" x14ac:dyDescent="0.2">
      <c r="A25" s="29" t="s">
        <v>22</v>
      </c>
      <c r="B25" s="86"/>
      <c r="C25" s="27">
        <f>June!C25+B25</f>
        <v>0</v>
      </c>
      <c r="D25" s="87"/>
      <c r="E25" s="27">
        <f>June!E25+D25</f>
        <v>0</v>
      </c>
      <c r="F25" s="60"/>
      <c r="G25" s="27">
        <f>June!G25+F25</f>
        <v>0</v>
      </c>
    </row>
    <row r="26" spans="1:7" x14ac:dyDescent="0.2">
      <c r="A26" s="29" t="s">
        <v>23</v>
      </c>
      <c r="B26" s="86">
        <f>704</f>
        <v>704</v>
      </c>
      <c r="C26" s="27">
        <f>June!C26+B26</f>
        <v>5778</v>
      </c>
      <c r="D26" s="87">
        <f>1+1+6+378</f>
        <v>386</v>
      </c>
      <c r="E26" s="27">
        <f>June!E26+D26</f>
        <v>9993</v>
      </c>
      <c r="F26" s="60"/>
      <c r="G26" s="27">
        <f>June!G26+F26</f>
        <v>0</v>
      </c>
    </row>
    <row r="27" spans="1:7" x14ac:dyDescent="0.2">
      <c r="A27" s="29" t="s">
        <v>24</v>
      </c>
      <c r="B27" s="86">
        <f>625+625+723+10+704+31+62+7+30+265+36+210+850+2028+640+360+150+235+2028+350+350+360+465+640+365+510+250+265+1030+2028+2400+2400+250+250+480+286+231+660+2300+3060+2450+180+850+850+520+200+1500+850+850+800+240+480+480+10+733+26+550+550+656+902+1000+1000+2400+2000+2000+396+636+636+636+396+396+390+390+352+660+650+650+345+347+252+550+198+650+650+473+473+473+230+230+515+515+480+240+320+2054+  2054+8+96+2300+480+396+396+640+550+1025+400+360+1250+1250+450+2500+106+2028+650+650+520+660+150+25+2300+650+650+850+132+264+230+230+240+1000+1002+1200+90+4+100+107594</f>
        <v>201289</v>
      </c>
      <c r="C27" s="27">
        <f>June!C27+B27</f>
        <v>1345653</v>
      </c>
      <c r="D27" s="87">
        <f>1+3+2+2+6+43+4+2000+200+214+106+320+6+6+234</f>
        <v>3147</v>
      </c>
      <c r="E27" s="27">
        <f>June!E27+D27</f>
        <v>13945</v>
      </c>
      <c r="F27" s="60"/>
      <c r="G27" s="27">
        <f>June!G27+F27</f>
        <v>6588</v>
      </c>
    </row>
    <row r="28" spans="1:7" x14ac:dyDescent="0.2">
      <c r="A28" s="29" t="s">
        <v>25</v>
      </c>
      <c r="B28" s="86">
        <f>43350</f>
        <v>43350</v>
      </c>
      <c r="C28" s="27">
        <f>June!C28+B28</f>
        <v>276126.46875</v>
      </c>
      <c r="D28" s="87">
        <f>1+1</f>
        <v>2</v>
      </c>
      <c r="E28" s="27">
        <f>June!E28+D28</f>
        <v>7</v>
      </c>
      <c r="F28" s="60"/>
      <c r="G28" s="27">
        <f>June!G28+F28</f>
        <v>0</v>
      </c>
    </row>
    <row r="29" spans="1:7" x14ac:dyDescent="0.2">
      <c r="A29" s="29" t="s">
        <v>26</v>
      </c>
      <c r="B29" s="86">
        <f>2065+1235+2174+2085+2234+1720+1542+800+771+1002+750+1505+1130+660+1200+287+1180+1250+1250+1100+1100+648+647+1210+714+714+713+3300+1390+745+1551+5200+2500+650+550+490+490+1362+680+265+2000+2400+820+2480+275+2015+200+1200+600+580+700+2191+610+610+1300+2600+1315+398+1094+768+768+1300+620+1240+779+620+1200+1320+2331+550+655+1953+660+1280+640+660+1070+2300+2300+1430+2145+1573+2205+727+727+640+641+1100+1100+1100+1100+1100+1100+1100+1100+450+208432</f>
        <v>325031</v>
      </c>
      <c r="C29" s="27">
        <f>June!C29+B29</f>
        <v>1947995</v>
      </c>
      <c r="D29" s="87">
        <f>1</f>
        <v>1</v>
      </c>
      <c r="E29" s="27">
        <f>June!E29+D29</f>
        <v>785</v>
      </c>
      <c r="F29" s="60">
        <f>14+1+8+5+18</f>
        <v>46</v>
      </c>
      <c r="G29" s="27">
        <f>June!G29+F29</f>
        <v>76</v>
      </c>
    </row>
    <row r="30" spans="1:7" x14ac:dyDescent="0.2">
      <c r="A30" s="29" t="s">
        <v>27</v>
      </c>
      <c r="B30" s="86">
        <f>1400+800+1500+800+1400+800+1200+1300+1000+1400+800+1300+1400+800+600+1400+3300</f>
        <v>21200</v>
      </c>
      <c r="C30" s="27">
        <f>June!C30+B30</f>
        <v>44848</v>
      </c>
      <c r="D30" s="87"/>
      <c r="E30" s="27">
        <f>June!E30+D30</f>
        <v>0</v>
      </c>
      <c r="F30" s="60"/>
      <c r="G30" s="27">
        <f>June!G30+F30</f>
        <v>0</v>
      </c>
    </row>
    <row r="31" spans="1:7" x14ac:dyDescent="0.2">
      <c r="A31" s="29" t="s">
        <v>28</v>
      </c>
      <c r="B31" s="86">
        <f>1250+590+180+210+1250+750+800+750+800+800+1100+800+1100+900+1450+180+800+700+800+800+850+800+850+800+1250+800+550+50+590+300+1250+700+1250+600+700+600+120+600+900+600+1275+800+1275+800+420+800+520+800+700+800+240+525+1250+89399+22150</f>
        <v>151924</v>
      </c>
      <c r="C31" s="27">
        <f>June!C31+B31</f>
        <v>1156741</v>
      </c>
      <c r="D31" s="87">
        <f>150+135+40+4+2+150+7+3+150+19+13+2+140+3+170+170+3+5+2+125+146+120+16+150+150+240+15+200+115+1+6+4+1+75+75+130+1300+50+250</f>
        <v>4337</v>
      </c>
      <c r="E31" s="27">
        <f>June!E31+D31</f>
        <v>17189</v>
      </c>
      <c r="F31" s="60"/>
      <c r="G31" s="27">
        <f>June!G31+F31</f>
        <v>0</v>
      </c>
    </row>
    <row r="32" spans="1:7" x14ac:dyDescent="0.2">
      <c r="A32" s="29" t="s">
        <v>29</v>
      </c>
      <c r="B32" s="86"/>
      <c r="C32" s="27">
        <f>June!C32+B32</f>
        <v>0</v>
      </c>
      <c r="D32" s="87"/>
      <c r="E32" s="27">
        <f>June!E32+D32</f>
        <v>1</v>
      </c>
      <c r="F32" s="60"/>
      <c r="G32" s="27">
        <f>June!G32+F32</f>
        <v>0</v>
      </c>
    </row>
    <row r="33" spans="1:7" x14ac:dyDescent="0.2">
      <c r="A33" s="29" t="s">
        <v>30</v>
      </c>
      <c r="B33" s="86"/>
      <c r="C33" s="27">
        <f>June!C33+B33</f>
        <v>0</v>
      </c>
      <c r="D33" s="87"/>
      <c r="E33" s="27">
        <f>June!E33+D33</f>
        <v>0</v>
      </c>
      <c r="F33" s="60"/>
      <c r="G33" s="27">
        <f>June!G33+F33</f>
        <v>0</v>
      </c>
    </row>
    <row r="34" spans="1:7" x14ac:dyDescent="0.2">
      <c r="A34" s="29" t="s">
        <v>31</v>
      </c>
      <c r="B34" s="86"/>
      <c r="C34" s="27">
        <f>June!C34+B34</f>
        <v>0</v>
      </c>
      <c r="D34" s="87"/>
      <c r="E34" s="27">
        <f>June!E34+D34</f>
        <v>0</v>
      </c>
      <c r="F34" s="60"/>
      <c r="G34" s="27">
        <f>June!G34+F34</f>
        <v>0</v>
      </c>
    </row>
    <row r="35" spans="1:7" x14ac:dyDescent="0.2">
      <c r="A35" s="29" t="s">
        <v>32</v>
      </c>
      <c r="B35" s="86"/>
      <c r="C35" s="27">
        <f>June!C35+B35</f>
        <v>0</v>
      </c>
      <c r="D35" s="87"/>
      <c r="E35" s="27">
        <f>June!E35+D35</f>
        <v>0</v>
      </c>
      <c r="F35" s="60"/>
      <c r="G35" s="27">
        <f>June!G35+F35</f>
        <v>0</v>
      </c>
    </row>
    <row r="36" spans="1:7" x14ac:dyDescent="0.2">
      <c r="A36" s="29" t="s">
        <v>33</v>
      </c>
      <c r="B36" s="86"/>
      <c r="C36" s="27">
        <f>June!C36+B36</f>
        <v>0</v>
      </c>
      <c r="D36" s="87"/>
      <c r="E36" s="27">
        <f>June!E36+D36</f>
        <v>0</v>
      </c>
      <c r="F36" s="60"/>
      <c r="G36" s="27">
        <f>June!G36+F36</f>
        <v>0</v>
      </c>
    </row>
    <row r="37" spans="1:7" x14ac:dyDescent="0.2">
      <c r="A37" s="29" t="s">
        <v>34</v>
      </c>
      <c r="B37" s="86">
        <f>750+750+750+133266</f>
        <v>135516</v>
      </c>
      <c r="C37" s="27">
        <f>June!C37+B37</f>
        <v>946498</v>
      </c>
      <c r="D37" s="87"/>
      <c r="E37" s="27">
        <f>June!E37+D37</f>
        <v>1</v>
      </c>
      <c r="F37" s="60"/>
      <c r="G37" s="27">
        <f>June!G37+F37</f>
        <v>0</v>
      </c>
    </row>
    <row r="38" spans="1:7" x14ac:dyDescent="0.2">
      <c r="A38" s="29" t="s">
        <v>35</v>
      </c>
      <c r="B38" s="86">
        <f>1300+1300+2600+1000+1200+1000+2500+1000+1200+1300+2600+7500</f>
        <v>24500</v>
      </c>
      <c r="C38" s="27">
        <f>June!C38+B38</f>
        <v>234930</v>
      </c>
      <c r="D38" s="87">
        <f>1+1+1+1+1</f>
        <v>5</v>
      </c>
      <c r="E38" s="27">
        <f>June!E38+D38</f>
        <v>4265</v>
      </c>
      <c r="F38" s="60"/>
      <c r="G38" s="27">
        <f>June!G38+F38</f>
        <v>0</v>
      </c>
    </row>
    <row r="39" spans="1:7" x14ac:dyDescent="0.2">
      <c r="A39" s="29" t="s">
        <v>36</v>
      </c>
      <c r="B39" s="86">
        <v>500</v>
      </c>
      <c r="C39" s="27">
        <f>June!C39+B39</f>
        <v>92315</v>
      </c>
      <c r="D39" s="87">
        <f>3+4+1+720</f>
        <v>728</v>
      </c>
      <c r="E39" s="27">
        <f>June!E39+D39</f>
        <v>6778</v>
      </c>
      <c r="F39" s="60"/>
      <c r="G39" s="27">
        <f>June!G39+F39</f>
        <v>0</v>
      </c>
    </row>
    <row r="40" spans="1:7" x14ac:dyDescent="0.2">
      <c r="A40" s="29" t="s">
        <v>37</v>
      </c>
      <c r="B40" s="86">
        <f>259+220+500+420+800+2160+2170+2120+1610+252+2500+256+310+550+500+280+275+460+430+2160+2160+1610+2100+1960+1730+2090+2050+1675+1365+436+341+570+300+230+320+1690+470+2100+500+187+2160+2160+250+460+2140+450+280+550+500+160752</f>
        <v>211818</v>
      </c>
      <c r="C40" s="27">
        <f>June!C40+B40</f>
        <v>1639409</v>
      </c>
      <c r="D40" s="87">
        <f>1+2+3+3+4+4+1+8+9+9+1</f>
        <v>45</v>
      </c>
      <c r="E40" s="27">
        <f>June!E40+D40</f>
        <v>263</v>
      </c>
      <c r="F40" s="60"/>
      <c r="G40" s="27">
        <f>June!G40+F40</f>
        <v>0</v>
      </c>
    </row>
    <row r="41" spans="1:7" x14ac:dyDescent="0.2">
      <c r="A41" s="29" t="s">
        <v>38</v>
      </c>
      <c r="B41" s="86"/>
      <c r="C41" s="27">
        <f>June!C41+B41</f>
        <v>0</v>
      </c>
      <c r="D41" s="87"/>
      <c r="E41" s="27">
        <f>June!E41+D41</f>
        <v>0</v>
      </c>
      <c r="F41" s="60"/>
      <c r="G41" s="27">
        <f>June!G41+F41</f>
        <v>0</v>
      </c>
    </row>
    <row r="42" spans="1:7" x14ac:dyDescent="0.2">
      <c r="A42" s="29" t="s">
        <v>39</v>
      </c>
      <c r="B42" s="86"/>
      <c r="C42" s="27">
        <f>June!C42+B42</f>
        <v>9661</v>
      </c>
      <c r="D42" s="87">
        <f>1+170</f>
        <v>171</v>
      </c>
      <c r="E42" s="27">
        <f>June!E42+D42</f>
        <v>3836</v>
      </c>
      <c r="F42" s="60"/>
      <c r="G42" s="27">
        <f>June!G42+F42</f>
        <v>0</v>
      </c>
    </row>
    <row r="43" spans="1:7" x14ac:dyDescent="0.2">
      <c r="A43" s="29" t="s">
        <v>40</v>
      </c>
      <c r="B43" s="86"/>
      <c r="C43" s="27">
        <f>June!C43+B43</f>
        <v>0</v>
      </c>
      <c r="D43" s="87"/>
      <c r="E43" s="27">
        <f>June!E43+D43</f>
        <v>0</v>
      </c>
      <c r="F43" s="60"/>
      <c r="G43" s="27">
        <f>June!G43+F43</f>
        <v>0</v>
      </c>
    </row>
    <row r="44" spans="1:7" x14ac:dyDescent="0.2">
      <c r="A44" s="29" t="s">
        <v>41</v>
      </c>
      <c r="B44" s="86"/>
      <c r="C44" s="27">
        <f>June!C44+B44</f>
        <v>0</v>
      </c>
      <c r="D44" s="87"/>
      <c r="E44" s="27">
        <f>June!E44+D44</f>
        <v>0</v>
      </c>
      <c r="F44" s="60"/>
      <c r="G44" s="27">
        <f>June!G44+F44</f>
        <v>0</v>
      </c>
    </row>
    <row r="45" spans="1:7" x14ac:dyDescent="0.2">
      <c r="A45" s="29" t="s">
        <v>42</v>
      </c>
      <c r="B45" s="86">
        <f>500+500+600+2000+630+630+630+630+630+630+640+600+600+600+2500+3600+640+640+415+35+30+1600+2600+1300+2054+2054+135+526+489+450+37257</f>
        <v>66145</v>
      </c>
      <c r="C45" s="27">
        <f>June!C45+B45</f>
        <v>326478</v>
      </c>
      <c r="D45" s="87">
        <f>4+355+903+162+1+47+12+550</f>
        <v>2034</v>
      </c>
      <c r="E45" s="27">
        <f>June!E45+D45</f>
        <v>8754</v>
      </c>
      <c r="F45" s="60"/>
      <c r="G45" s="27">
        <f>June!G45+F45</f>
        <v>0</v>
      </c>
    </row>
    <row r="46" spans="1:7" x14ac:dyDescent="0.2">
      <c r="A46" s="29" t="s">
        <v>43</v>
      </c>
      <c r="B46" s="86"/>
      <c r="C46" s="27">
        <f>June!C46+B46</f>
        <v>403</v>
      </c>
      <c r="D46" s="87"/>
      <c r="E46" s="27">
        <f>June!E46+D46</f>
        <v>113</v>
      </c>
      <c r="F46" s="60"/>
      <c r="G46" s="27">
        <f>June!G46+F46</f>
        <v>0</v>
      </c>
    </row>
    <row r="47" spans="1:7" x14ac:dyDescent="0.2">
      <c r="A47" s="29" t="s">
        <v>44</v>
      </c>
      <c r="B47" s="86">
        <f>83192</f>
        <v>83192</v>
      </c>
      <c r="C47" s="27">
        <f>June!C47+B47</f>
        <v>395317</v>
      </c>
      <c r="D47" s="87">
        <f>7+8+8+5+7+6+6+6+12+14+4</f>
        <v>83</v>
      </c>
      <c r="E47" s="27">
        <f>June!E47+D47</f>
        <v>284</v>
      </c>
      <c r="F47" s="60"/>
      <c r="G47" s="27">
        <f>June!G47+F47</f>
        <v>0</v>
      </c>
    </row>
    <row r="48" spans="1:7" x14ac:dyDescent="0.2">
      <c r="A48" s="29" t="s">
        <v>45</v>
      </c>
      <c r="B48" s="86">
        <f>34764</f>
        <v>34764</v>
      </c>
      <c r="C48" s="27">
        <f>June!C48+B48</f>
        <v>251340</v>
      </c>
      <c r="D48" s="87"/>
      <c r="E48" s="27">
        <f>June!E48+D48</f>
        <v>0</v>
      </c>
      <c r="F48" s="101"/>
      <c r="G48" s="27">
        <f>June!G48+F48</f>
        <v>41</v>
      </c>
    </row>
    <row r="49" spans="1:256" x14ac:dyDescent="0.2">
      <c r="A49" s="29" t="s">
        <v>46</v>
      </c>
      <c r="B49" s="86"/>
      <c r="C49" s="27">
        <f>June!C49+B49</f>
        <v>0</v>
      </c>
      <c r="D49" s="87"/>
      <c r="E49" s="27">
        <f>June!E49+D49</f>
        <v>0</v>
      </c>
      <c r="F49" s="60"/>
      <c r="G49" s="27">
        <f>June!G49+F49</f>
        <v>0</v>
      </c>
    </row>
    <row r="50" spans="1:256" x14ac:dyDescent="0.2">
      <c r="A50" s="29" t="s">
        <v>47</v>
      </c>
      <c r="B50" s="86"/>
      <c r="C50" s="27">
        <f>June!C50+B50</f>
        <v>0</v>
      </c>
      <c r="D50" s="87">
        <f>2</f>
        <v>2</v>
      </c>
      <c r="E50" s="27">
        <f>June!E50+D50</f>
        <v>2</v>
      </c>
      <c r="F50" s="60"/>
      <c r="G50" s="27">
        <f>June!G50+F50</f>
        <v>0</v>
      </c>
    </row>
    <row r="51" spans="1:256" x14ac:dyDescent="0.2">
      <c r="A51" s="29" t="s">
        <v>48</v>
      </c>
      <c r="B51" s="86"/>
      <c r="C51" s="27">
        <f>June!C51+B51</f>
        <v>0</v>
      </c>
      <c r="D51" s="87"/>
      <c r="E51" s="27">
        <f>June!E51+D51</f>
        <v>0</v>
      </c>
      <c r="F51" s="60"/>
      <c r="G51" s="27">
        <f>June!G51+F51</f>
        <v>0</v>
      </c>
    </row>
    <row r="52" spans="1:256" x14ac:dyDescent="0.2">
      <c r="A52" s="29" t="s">
        <v>49</v>
      </c>
      <c r="B52" s="86"/>
      <c r="C52" s="27">
        <f>June!C52+B52</f>
        <v>0</v>
      </c>
      <c r="D52" s="87"/>
      <c r="E52" s="27">
        <f>June!E52+D52</f>
        <v>0</v>
      </c>
      <c r="F52" s="60"/>
      <c r="G52" s="27">
        <f>June!G52+F52</f>
        <v>0</v>
      </c>
    </row>
    <row r="53" spans="1:256" x14ac:dyDescent="0.2">
      <c r="A53" s="29" t="s">
        <v>50</v>
      </c>
      <c r="B53" s="86">
        <f>80+220+300+250+150+200+175+200+200+100+300+200+2100+600+104+90+850+88+1050+650+500+400+88+2400+600+900+1125+2400+900+1000+2200+300+500+13+2400+200+300+100+500+300+400+70+1170</f>
        <v>26673</v>
      </c>
      <c r="C53" s="27">
        <f>June!C53+B53</f>
        <v>113782</v>
      </c>
      <c r="D53" s="87">
        <f>12+2+2+3+2</f>
        <v>21</v>
      </c>
      <c r="E53" s="27">
        <f>June!E53+D53</f>
        <v>2743</v>
      </c>
      <c r="F53" s="60"/>
      <c r="G53" s="27">
        <f>June!G53+F53</f>
        <v>0</v>
      </c>
    </row>
    <row r="54" spans="1:256" ht="15.75" thickBot="1" x14ac:dyDescent="0.25">
      <c r="A54" s="29" t="s">
        <v>51</v>
      </c>
      <c r="B54" s="86">
        <f>1900+1900+300+425+525+800+625+625+800+1050+1850+1600+2360+2050+1760+2360+1880+328+1712+1900+2025+2360+2360+2025+1900+170+1255+2360+630+1730+1600+760+1770+2360+1760+2010+790+2000+1100+1250</f>
        <v>58965</v>
      </c>
      <c r="C54" s="27">
        <f>June!C54+B54</f>
        <v>206256</v>
      </c>
      <c r="D54" s="87">
        <f>3+160</f>
        <v>163</v>
      </c>
      <c r="E54" s="27">
        <f>June!E54+D54</f>
        <v>323</v>
      </c>
      <c r="F54" s="60"/>
      <c r="G54" s="27">
        <f>June!G54+F54</f>
        <v>0</v>
      </c>
    </row>
    <row r="55" spans="1:256" s="28" customFormat="1" ht="26.1" customHeight="1" thickBot="1" x14ac:dyDescent="0.3">
      <c r="A55" s="93" t="s">
        <v>53</v>
      </c>
      <c r="B55" s="15">
        <f>SUM(B7:B54)</f>
        <v>2223307</v>
      </c>
      <c r="C55" s="15">
        <f>June!C55+B55</f>
        <v>14701148.46875</v>
      </c>
      <c r="D55" s="15">
        <f>SUM(D7:D54)</f>
        <v>12991</v>
      </c>
      <c r="E55" s="15">
        <f>June!E55+D55</f>
        <v>92815</v>
      </c>
      <c r="F55" s="15">
        <f>SUM(F7:F54)</f>
        <v>13911</v>
      </c>
      <c r="G55" s="15">
        <f>June!G55+F55</f>
        <v>93339</v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</row>
    <row r="56" spans="1:256" ht="15.75" x14ac:dyDescent="0.25">
      <c r="A56" s="19"/>
      <c r="B56" s="30"/>
      <c r="C56" s="30"/>
      <c r="D56" s="30"/>
      <c r="E56" s="30"/>
      <c r="F56" s="31"/>
      <c r="G56" s="31"/>
    </row>
    <row r="57" spans="1:256" ht="16.5" thickBot="1" x14ac:dyDescent="0.3">
      <c r="A57" s="19" t="s">
        <v>54</v>
      </c>
      <c r="B57" s="30"/>
      <c r="C57" s="20" t="s">
        <v>4</v>
      </c>
      <c r="D57" s="21" t="s">
        <v>5</v>
      </c>
      <c r="E57" s="30"/>
      <c r="F57" s="31"/>
      <c r="G57" s="31"/>
    </row>
    <row r="58" spans="1:256" x14ac:dyDescent="0.2">
      <c r="A58" s="32" t="s">
        <v>55</v>
      </c>
      <c r="B58" s="33"/>
      <c r="C58" s="34">
        <v>100</v>
      </c>
      <c r="D58" s="35">
        <f>June!D58+C58</f>
        <v>100</v>
      </c>
      <c r="E58" s="30"/>
      <c r="F58" s="31"/>
      <c r="G58" s="31"/>
    </row>
    <row r="59" spans="1:256" x14ac:dyDescent="0.2">
      <c r="A59" s="32" t="s">
        <v>56</v>
      </c>
      <c r="B59" s="34"/>
      <c r="C59" s="34">
        <v>2030</v>
      </c>
      <c r="D59" s="35">
        <f>June!D59+C59</f>
        <v>14165</v>
      </c>
      <c r="E59" s="31"/>
      <c r="F59" s="31"/>
      <c r="G59" s="31"/>
    </row>
    <row r="60" spans="1:256" x14ac:dyDescent="0.2">
      <c r="A60" s="32" t="s">
        <v>57</v>
      </c>
      <c r="B60" s="34"/>
      <c r="C60" s="34"/>
      <c r="D60" s="35">
        <f>June!D60+C60</f>
        <v>0</v>
      </c>
      <c r="E60" s="31"/>
      <c r="F60" s="31"/>
      <c r="G60" s="31"/>
    </row>
    <row r="61" spans="1:256" x14ac:dyDescent="0.2">
      <c r="A61" s="32" t="s">
        <v>58</v>
      </c>
      <c r="B61" s="34"/>
      <c r="C61" s="34"/>
      <c r="D61" s="35">
        <f>June!D61+C61</f>
        <v>0</v>
      </c>
      <c r="E61" s="31"/>
      <c r="F61" s="31"/>
      <c r="G61" s="31"/>
    </row>
    <row r="62" spans="1:256" x14ac:dyDescent="0.2">
      <c r="A62" s="32" t="s">
        <v>59</v>
      </c>
      <c r="B62" s="34"/>
      <c r="C62" s="34">
        <f>40+90+50+90+50+280+115+175+45+135+280+110+140+280+175+145+250+135+110+90+30+60+70+50+150+70+40+40+90+55+40+50+110+50+200+8+10+96+32+8+100+15+200+175+28+8+8+26+8+121+18+8+10+6+4+110+62+115+280+175+45+110+135+280+110+280+135+45+280+175+115+757+1455+1400+1310+1400+1505+1725+360+280+1630+2280+1124+204+285+70+160+160+45+350+110+135+175+280+115+450+65+3600</f>
        <v>28661</v>
      </c>
      <c r="D62" s="35">
        <f>June!D62+C62</f>
        <v>217291</v>
      </c>
      <c r="E62" s="31"/>
      <c r="F62" s="31"/>
      <c r="G62" s="31"/>
    </row>
    <row r="63" spans="1:256" x14ac:dyDescent="0.2">
      <c r="A63" s="32" t="s">
        <v>65</v>
      </c>
      <c r="B63" s="78"/>
      <c r="C63" s="34">
        <f>45+90+106+240+75+200+310+80+110+270+106+70+230+30+170+75+240+52+90+45+75+310+124+95+310+65+169+100+80+170+75+95+80+310+464+370+100+270+420+90+45+106+70+75</f>
        <v>6702</v>
      </c>
      <c r="D63" s="35">
        <f>June!D63+C63</f>
        <v>67318</v>
      </c>
      <c r="E63" s="31"/>
      <c r="F63" s="31"/>
      <c r="G63" s="31"/>
    </row>
    <row r="64" spans="1:256" x14ac:dyDescent="0.2">
      <c r="A64" s="32" t="s">
        <v>63</v>
      </c>
      <c r="B64" s="34"/>
      <c r="C64" s="34">
        <f>45+50+200+170+110+110+72+115+26+50+250+120+160+170+105+85+72+72+130+115+110+170+145+250+80+250+100+180+195+84+75+80+250+120+140+170+45+85+100+130+33+12+18+46+70+35+150+110+35+35+8+174+80+40+70+15+195+45+70+35+150+19+74+230+15+70+57+80+33+12+175+50+70+35+190+80+30+40+35+8+155+22+64+110+70+40+29+130+24+62+22+230+15+45+40+70+175+35+70+35+150+80+33+12+40</f>
        <v>9473</v>
      </c>
      <c r="D64" s="35">
        <f>June!D64+C64</f>
        <v>95615</v>
      </c>
      <c r="E64" s="31"/>
      <c r="F64" s="31"/>
      <c r="G64" s="31"/>
    </row>
    <row r="65" spans="1:7" x14ac:dyDescent="0.2">
      <c r="A65" s="32" t="s">
        <v>60</v>
      </c>
      <c r="B65" s="31"/>
      <c r="C65" s="34"/>
      <c r="D65" s="35">
        <f>June!D65+C65</f>
        <v>0</v>
      </c>
      <c r="E65" s="31"/>
      <c r="F65" s="31"/>
      <c r="G65" s="31"/>
    </row>
    <row r="66" spans="1:7" x14ac:dyDescent="0.2">
      <c r="A66" s="32" t="s">
        <v>61</v>
      </c>
      <c r="C66" s="34">
        <f>570+96+48+70+111+160+140+75+140+188+111+30+83+59+60+140+60+30+120+188+50+50+102+8+84+120+140+70+130+188+75+60+100+170+110+140+75+110+210+75+188+170+60+83+10+140+160+20+120+175+168+85+88+52+150+223+45+67+52+470</f>
        <v>7072</v>
      </c>
      <c r="D66" s="35">
        <f>June!D66+C66</f>
        <v>38047</v>
      </c>
      <c r="E66" s="31"/>
      <c r="F66" s="31"/>
      <c r="G66" s="31"/>
    </row>
    <row r="67" spans="1:7" x14ac:dyDescent="0.2">
      <c r="A67" s="32" t="s">
        <v>62</v>
      </c>
      <c r="B67" s="31"/>
      <c r="C67" s="34">
        <f>700</f>
        <v>700</v>
      </c>
      <c r="D67" s="35">
        <f>June!D67+C67</f>
        <v>6800</v>
      </c>
      <c r="E67" s="31"/>
      <c r="F67" s="31"/>
      <c r="G67" s="31"/>
    </row>
  </sheetData>
  <phoneticPr fontId="0" type="noConversion"/>
  <pageMargins left="0.5" right="0.5" top="0.5" bottom="0.5" header="0.5" footer="0.5"/>
  <pageSetup scale="72" orientation="portrait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0" zoomScaleNormal="70" workbookViewId="0">
      <pane ySplit="6" topLeftCell="A9" activePane="bottomLeft" state="frozen"/>
      <selection pane="bottomLeft" activeCell="B50" sqref="B50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3.21875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78</v>
      </c>
      <c r="I2" s="2"/>
    </row>
    <row r="3" spans="1:256" ht="12.95" customHeight="1" x14ac:dyDescent="0.25">
      <c r="F3" t="s">
        <v>77</v>
      </c>
      <c r="I3" s="2"/>
    </row>
    <row r="4" spans="1:256" ht="12.95" customHeight="1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2">
        <f>165+920+9154+835+5714+907+914+914+663+251+79+914+850+850+422+850</f>
        <v>24402</v>
      </c>
      <c r="C7" s="12">
        <f>July!C7+B7</f>
        <v>71629</v>
      </c>
      <c r="D7" s="84"/>
      <c r="E7" s="12">
        <f>July!E7+D7</f>
        <v>0</v>
      </c>
      <c r="F7" s="61"/>
      <c r="G7" s="12">
        <f>July!G7+F7</f>
        <v>0</v>
      </c>
    </row>
    <row r="8" spans="1:256" x14ac:dyDescent="0.2">
      <c r="A8" s="11" t="s">
        <v>64</v>
      </c>
      <c r="B8" s="82"/>
      <c r="C8" s="12">
        <f>July!C8+B8</f>
        <v>1</v>
      </c>
      <c r="D8" s="84"/>
      <c r="E8" s="12">
        <f>July!E8+D8</f>
        <v>19</v>
      </c>
      <c r="F8" s="61"/>
      <c r="G8" s="12">
        <f>July!G8+F8</f>
        <v>0</v>
      </c>
    </row>
    <row r="9" spans="1:256" x14ac:dyDescent="0.2">
      <c r="A9" s="11" t="s">
        <v>7</v>
      </c>
      <c r="B9" s="82">
        <f>525+775+650+725+400+650+1050+850+200+1050+1050+1050+1050+1050+1050+500+700</f>
        <v>13325</v>
      </c>
      <c r="C9" s="12">
        <f>July!C9+B9</f>
        <v>221430</v>
      </c>
      <c r="D9" s="84"/>
      <c r="E9" s="12">
        <f>July!E9+D9</f>
        <v>40</v>
      </c>
      <c r="F9" s="61"/>
      <c r="G9" s="12">
        <f>July!G9+F9</f>
        <v>0</v>
      </c>
    </row>
    <row r="10" spans="1:256" x14ac:dyDescent="0.2">
      <c r="A10" s="11" t="s">
        <v>8</v>
      </c>
      <c r="B10" s="82"/>
      <c r="C10" s="12">
        <f>July!C10+B10</f>
        <v>0</v>
      </c>
      <c r="D10" s="84"/>
      <c r="E10" s="12">
        <f>July!E10+D10</f>
        <v>47</v>
      </c>
      <c r="F10" s="61"/>
      <c r="G10" s="12">
        <f>July!G10+F10</f>
        <v>0</v>
      </c>
    </row>
    <row r="11" spans="1:256" ht="15.75" thickBot="1" x14ac:dyDescent="0.25">
      <c r="A11" s="13" t="s">
        <v>52</v>
      </c>
      <c r="B11" s="82">
        <v>263742</v>
      </c>
      <c r="C11" s="12">
        <f>July!C11+B11</f>
        <v>2147255</v>
      </c>
      <c r="D11" s="84">
        <v>778</v>
      </c>
      <c r="E11" s="12">
        <f>July!E11+D11</f>
        <v>6020</v>
      </c>
      <c r="F11" s="61">
        <v>12420</v>
      </c>
      <c r="G11" s="12">
        <f>July!G11+F11</f>
        <v>99054</v>
      </c>
    </row>
    <row r="12" spans="1:256" ht="15.75" thickTop="1" x14ac:dyDescent="0.2">
      <c r="A12" s="11" t="s">
        <v>9</v>
      </c>
      <c r="B12" s="82">
        <f>2200+1120+1880+400+1400+1800+2200+1200+1300+1200+300+1100+1100+1300+1150+500+1300+300+900+900+500+900+1200+300+600+1725+1125+1150+1100+1200+1100+900+1700+1700+630+1070+1700+360+1440+1800+1800+1725+1725+600+1100+1200+51331</f>
        <v>105231</v>
      </c>
      <c r="C12" s="12">
        <f>July!C12+B12</f>
        <v>934425</v>
      </c>
      <c r="D12" s="84"/>
      <c r="E12" s="12">
        <f>July!E12+D12</f>
        <v>364</v>
      </c>
      <c r="F12" s="61"/>
      <c r="G12" s="12">
        <f>July!G12+F12</f>
        <v>0</v>
      </c>
    </row>
    <row r="13" spans="1:256" x14ac:dyDescent="0.2">
      <c r="A13" s="11" t="s">
        <v>10</v>
      </c>
      <c r="B13" s="82"/>
      <c r="C13" s="12">
        <f>July!C13+B13</f>
        <v>0</v>
      </c>
      <c r="D13" s="84"/>
      <c r="E13" s="12">
        <f>July!E13+D13</f>
        <v>0</v>
      </c>
      <c r="F13" s="61"/>
      <c r="G13" s="12">
        <f>July!G13+F13</f>
        <v>0</v>
      </c>
    </row>
    <row r="14" spans="1:256" x14ac:dyDescent="0.2">
      <c r="A14" s="11" t="s">
        <v>11</v>
      </c>
      <c r="B14" s="82"/>
      <c r="C14" s="12">
        <f>July!C14+B14</f>
        <v>0</v>
      </c>
      <c r="D14" s="84"/>
      <c r="E14" s="12">
        <f>July!E14+D14</f>
        <v>0</v>
      </c>
      <c r="F14" s="61"/>
      <c r="G14" s="12">
        <f>July!G14+F14</f>
        <v>0</v>
      </c>
    </row>
    <row r="15" spans="1:256" x14ac:dyDescent="0.2">
      <c r="A15" s="11" t="s">
        <v>12</v>
      </c>
      <c r="B15" s="82"/>
      <c r="C15" s="12">
        <f>July!C15+B15</f>
        <v>0</v>
      </c>
      <c r="D15" s="84"/>
      <c r="E15" s="12">
        <f>July!E15+D15</f>
        <v>0</v>
      </c>
      <c r="F15" s="61"/>
      <c r="G15" s="12">
        <f>July!G15+F15</f>
        <v>0</v>
      </c>
    </row>
    <row r="16" spans="1:256" x14ac:dyDescent="0.2">
      <c r="A16" s="11" t="s">
        <v>13</v>
      </c>
      <c r="B16" s="82">
        <f>2220+700</f>
        <v>2920</v>
      </c>
      <c r="C16" s="12">
        <f>July!C16+B16</f>
        <v>38522</v>
      </c>
      <c r="D16" s="84">
        <v>1</v>
      </c>
      <c r="E16" s="12">
        <f>July!E16+D16</f>
        <v>1</v>
      </c>
      <c r="F16" s="61"/>
      <c r="G16" s="12">
        <f>July!G16+F16</f>
        <v>0</v>
      </c>
    </row>
    <row r="17" spans="1:7" x14ac:dyDescent="0.2">
      <c r="A17" s="11" t="s">
        <v>14</v>
      </c>
      <c r="B17" s="82"/>
      <c r="C17" s="12">
        <f>July!C17+B17</f>
        <v>0</v>
      </c>
      <c r="D17" s="84"/>
      <c r="E17" s="12">
        <f>July!E17+D17</f>
        <v>2</v>
      </c>
      <c r="F17" s="61"/>
      <c r="G17" s="12">
        <f>July!G17+F17</f>
        <v>0</v>
      </c>
    </row>
    <row r="18" spans="1:7" x14ac:dyDescent="0.2">
      <c r="A18" s="11" t="s">
        <v>15</v>
      </c>
      <c r="B18" s="82">
        <f>1128+564+634+619+575+600+350+1060+1060+1060+1100+1200+1450+783+1200+250+500+330+1200+1200+1500+1200+1200+850+817+350+500+1450+1500+300+1240+1050+900+1350+1060+1060+1060+1060+1060+350+350+400+350+350+250+122+623+623+623+700+400+623+300+628+572+652+950+648+250+85+1303+1302+1000+822+1500+1300+1200+1200+1200+1650+800+1450+325+125+250+250+1450+1060+840+1060+1000+1000+600+285+550+625+600+277837</f>
        <v>348803</v>
      </c>
      <c r="C18" s="12">
        <f>July!C18+B18</f>
        <v>2816751</v>
      </c>
      <c r="D18" s="84">
        <f>1+170+150+260+33+1+1+1+1+1+1+3+1+3+110+4+937</f>
        <v>1678</v>
      </c>
      <c r="E18" s="12">
        <f>July!E18+D18</f>
        <v>14469</v>
      </c>
      <c r="F18" s="61"/>
      <c r="G18" s="12">
        <f>July!G18+F18</f>
        <v>0</v>
      </c>
    </row>
    <row r="19" spans="1:7" x14ac:dyDescent="0.2">
      <c r="A19" s="11" t="s">
        <v>16</v>
      </c>
      <c r="B19" s="82">
        <f>550+3856</f>
        <v>4406</v>
      </c>
      <c r="C19" s="12">
        <f>July!C19+B19</f>
        <v>109472</v>
      </c>
      <c r="D19" s="84">
        <f>1+1+1+4+7</f>
        <v>14</v>
      </c>
      <c r="E19" s="12">
        <f>July!E19+D19</f>
        <v>1504</v>
      </c>
      <c r="F19" s="61"/>
      <c r="G19" s="12">
        <f>July!G19+F19</f>
        <v>0</v>
      </c>
    </row>
    <row r="20" spans="1:7" x14ac:dyDescent="0.2">
      <c r="A20" s="11" t="s">
        <v>17</v>
      </c>
      <c r="B20" s="82">
        <f>1600+500+451+550+1350+1600+1100+1600+1375+1375+1050+1250+2000+4138</f>
        <v>19939</v>
      </c>
      <c r="C20" s="12">
        <f>July!C20+B20</f>
        <v>150843</v>
      </c>
      <c r="D20" s="84">
        <f>2+8+50+40+210</f>
        <v>310</v>
      </c>
      <c r="E20" s="12">
        <f>July!E20+D20</f>
        <v>3143</v>
      </c>
      <c r="F20" s="61"/>
      <c r="G20" s="12">
        <f>July!G20+F20</f>
        <v>0</v>
      </c>
    </row>
    <row r="21" spans="1:7" x14ac:dyDescent="0.2">
      <c r="A21" s="11" t="s">
        <v>18</v>
      </c>
      <c r="B21" s="82"/>
      <c r="C21" s="12">
        <f>July!C21+B21</f>
        <v>58</v>
      </c>
      <c r="D21" s="84">
        <f>2+6+4+1+170</f>
        <v>183</v>
      </c>
      <c r="E21" s="12">
        <f>July!E21+D21</f>
        <v>887</v>
      </c>
      <c r="F21" s="61"/>
      <c r="G21" s="12">
        <f>July!G21+F21</f>
        <v>0</v>
      </c>
    </row>
    <row r="22" spans="1:7" x14ac:dyDescent="0.2">
      <c r="A22" s="11" t="s">
        <v>19</v>
      </c>
      <c r="B22" s="82"/>
      <c r="C22" s="12">
        <f>July!C22+B22</f>
        <v>0</v>
      </c>
      <c r="D22" s="84"/>
      <c r="E22" s="12">
        <f>July!E22+D22</f>
        <v>0</v>
      </c>
      <c r="F22" s="61"/>
      <c r="G22" s="12">
        <f>July!G22+F22</f>
        <v>0</v>
      </c>
    </row>
    <row r="23" spans="1:7" x14ac:dyDescent="0.2">
      <c r="A23" s="11" t="s">
        <v>20</v>
      </c>
      <c r="B23" s="82"/>
      <c r="C23" s="12">
        <f>July!C23+B23</f>
        <v>0</v>
      </c>
      <c r="D23" s="84"/>
      <c r="E23" s="12">
        <f>July!E23+D23</f>
        <v>0</v>
      </c>
      <c r="F23" s="61"/>
      <c r="G23" s="12">
        <f>July!G23+F23</f>
        <v>0</v>
      </c>
    </row>
    <row r="24" spans="1:7" x14ac:dyDescent="0.2">
      <c r="A24" s="11" t="s">
        <v>21</v>
      </c>
      <c r="B24" s="82"/>
      <c r="C24" s="12">
        <f>July!C24+B24</f>
        <v>0</v>
      </c>
      <c r="D24" s="84"/>
      <c r="E24" s="12">
        <f>July!E24+D24</f>
        <v>1</v>
      </c>
      <c r="F24" s="61"/>
      <c r="G24" s="12">
        <f>July!G24+F24</f>
        <v>0</v>
      </c>
    </row>
    <row r="25" spans="1:7" x14ac:dyDescent="0.2">
      <c r="A25" s="11" t="s">
        <v>22</v>
      </c>
      <c r="B25" s="82"/>
      <c r="C25" s="12">
        <f>July!C25+B25</f>
        <v>0</v>
      </c>
      <c r="D25" s="84"/>
      <c r="E25" s="12">
        <f>July!E25+D25</f>
        <v>0</v>
      </c>
      <c r="F25" s="61"/>
      <c r="G25" s="12">
        <f>July!G25+F25</f>
        <v>0</v>
      </c>
    </row>
    <row r="26" spans="1:7" x14ac:dyDescent="0.2">
      <c r="A26" s="11" t="s">
        <v>23</v>
      </c>
      <c r="B26" s="82">
        <v>1025</v>
      </c>
      <c r="C26" s="12">
        <f>July!C26+B26</f>
        <v>6803</v>
      </c>
      <c r="D26" s="84">
        <v>2674</v>
      </c>
      <c r="E26" s="12">
        <f>July!E26+D26</f>
        <v>12667</v>
      </c>
      <c r="F26" s="61"/>
      <c r="G26" s="12">
        <f>July!G26+F26</f>
        <v>0</v>
      </c>
    </row>
    <row r="27" spans="1:7" x14ac:dyDescent="0.2">
      <c r="A27" s="11" t="s">
        <v>24</v>
      </c>
      <c r="B27" s="82">
        <f>270+400+850+850+2056+2056+650+650+650+400+400+380+330+360+480+480+165+165+660+550+520+520+650+390+396+396+396+400+212+1075+1075+649+607+32+625+660+1075+1025+610+37+2300+400+2100+2200+2880+210+2056+2054+2054+530+525+520+396+396+2500+850+850+165+165+150+165+220+440+50+165+180+2439+210+410+200+2514+650+650+1980+4060+4060+2028+2028+480+157+210+520+520+105+363+400+850+850+1200+4000+60+100+650+72+6+650+1160+510+182+2100+2400+2080+2000+850+850+2100+2100+1600+375+375+336+630+630+380+380+530+126501</f>
        <v>229164</v>
      </c>
      <c r="C27" s="12">
        <f>July!C27+B27</f>
        <v>1574817</v>
      </c>
      <c r="D27" s="84">
        <f>8+30+56+70+3+3+40+589</f>
        <v>799</v>
      </c>
      <c r="E27" s="12">
        <f>July!E27+D27</f>
        <v>14744</v>
      </c>
      <c r="F27" s="61"/>
      <c r="G27" s="12">
        <f>July!G27+F27</f>
        <v>6588</v>
      </c>
    </row>
    <row r="28" spans="1:7" x14ac:dyDescent="0.2">
      <c r="A28" s="11" t="s">
        <v>25</v>
      </c>
      <c r="B28" s="82">
        <v>50850</v>
      </c>
      <c r="C28" s="12">
        <f>July!C28+B28</f>
        <v>326976.46875</v>
      </c>
      <c r="D28" s="84"/>
      <c r="E28" s="12">
        <f>July!E28+D28</f>
        <v>7</v>
      </c>
      <c r="F28" s="61"/>
      <c r="G28" s="12">
        <f>July!G28+F28</f>
        <v>0</v>
      </c>
    </row>
    <row r="29" spans="1:7" x14ac:dyDescent="0.2">
      <c r="A29" s="11" t="s">
        <v>26</v>
      </c>
      <c r="B29" s="82">
        <f>1200+425+190+150+1240+1050+1325+1373+1110+1365+485+1807+240+17848+583+1893+583+1272+585+456+1793+570+2241+1284+950+2234+2234+2234+1200+2004+1050+4190+6433+300+280+200+762+290+510+457+762+1330+665+649+1383+1468+1200+1500+1500+736+736+408+737+330+633+632+620+620+620+620+1+825+1000+1000+925+925+1150+1150+285+320+714+3160+737+199+1897+1897+725+725+1842+1428+725+1244+1246+1560+1030+530+1450+497+780+450+700+3+422+215280</f>
        <v>330367</v>
      </c>
      <c r="C29" s="12">
        <f>July!C29+B29</f>
        <v>2278362</v>
      </c>
      <c r="D29" s="84">
        <f>2+1+201</f>
        <v>204</v>
      </c>
      <c r="E29" s="12">
        <f>July!E29+D29</f>
        <v>989</v>
      </c>
      <c r="F29" s="61"/>
      <c r="G29" s="12">
        <f>July!G29+F29</f>
        <v>76</v>
      </c>
    </row>
    <row r="30" spans="1:7" x14ac:dyDescent="0.2">
      <c r="A30" s="11" t="s">
        <v>27</v>
      </c>
      <c r="B30" s="82">
        <f>1450+1200+1400+1400+1500+1500+1200+2000+1100</f>
        <v>12750</v>
      </c>
      <c r="C30" s="12">
        <f>July!C30+B30</f>
        <v>57598</v>
      </c>
      <c r="D30" s="84"/>
      <c r="E30" s="12">
        <f>July!E30+D30</f>
        <v>0</v>
      </c>
      <c r="F30" s="61"/>
      <c r="G30" s="12">
        <f>July!G30+F30</f>
        <v>0</v>
      </c>
    </row>
    <row r="31" spans="1:7" x14ac:dyDescent="0.2">
      <c r="A31" s="11" t="s">
        <v>28</v>
      </c>
      <c r="B31" s="82">
        <f>30+25+525+825+800+600+800+600+180+325+700+650+590+700+150+500+400+750+750+1150+600+1250+1517+1517+1517+1050+700+700+30+700+515+700+700+550+700+515+550+625+1250+350+625+700+590+180+450+150+600+700+600+800+800+1000+525+525+1250+550+750+750+600+750+163069</f>
        <v>203050</v>
      </c>
      <c r="C31" s="12">
        <f>July!C31+B31</f>
        <v>1359791</v>
      </c>
      <c r="D31" s="84">
        <f>60+11+30+4+22+700+75+500+75+75+115+75+50+220+100+50+3+130+115+115+80+115+115+140+240+120+110+360</f>
        <v>3805</v>
      </c>
      <c r="E31" s="12">
        <f>July!E31+D31</f>
        <v>20994</v>
      </c>
      <c r="F31" s="61">
        <f>155</f>
        <v>155</v>
      </c>
      <c r="G31" s="12">
        <f>July!G31+F31</f>
        <v>155</v>
      </c>
    </row>
    <row r="32" spans="1:7" x14ac:dyDescent="0.2">
      <c r="A32" s="11" t="s">
        <v>29</v>
      </c>
      <c r="B32" s="82"/>
      <c r="C32" s="12">
        <f>July!C32+B32</f>
        <v>0</v>
      </c>
      <c r="D32" s="84"/>
      <c r="E32" s="12">
        <f>July!E32+D32</f>
        <v>1</v>
      </c>
      <c r="F32" s="61"/>
      <c r="G32" s="12">
        <f>July!G32+F32</f>
        <v>0</v>
      </c>
    </row>
    <row r="33" spans="1:7" x14ac:dyDescent="0.2">
      <c r="A33" s="11" t="s">
        <v>30</v>
      </c>
      <c r="B33" s="82"/>
      <c r="C33" s="12">
        <f>July!C33+B33</f>
        <v>0</v>
      </c>
      <c r="D33" s="84"/>
      <c r="E33" s="12">
        <f>July!E33+D33</f>
        <v>0</v>
      </c>
      <c r="F33" s="61"/>
      <c r="G33" s="12">
        <f>July!G33+F33</f>
        <v>0</v>
      </c>
    </row>
    <row r="34" spans="1:7" x14ac:dyDescent="0.2">
      <c r="A34" s="11" t="s">
        <v>31</v>
      </c>
      <c r="B34" s="82"/>
      <c r="C34" s="12">
        <f>July!C34+B34</f>
        <v>0</v>
      </c>
      <c r="D34" s="84"/>
      <c r="E34" s="12">
        <f>July!E34+D34</f>
        <v>0</v>
      </c>
      <c r="F34" s="61"/>
      <c r="G34" s="12">
        <f>July!G34+F34</f>
        <v>0</v>
      </c>
    </row>
    <row r="35" spans="1:7" x14ac:dyDescent="0.2">
      <c r="A35" s="11" t="s">
        <v>32</v>
      </c>
      <c r="B35" s="82"/>
      <c r="C35" s="12">
        <f>July!C35+B35</f>
        <v>0</v>
      </c>
      <c r="D35" s="84"/>
      <c r="E35" s="12">
        <f>July!E35+D35</f>
        <v>0</v>
      </c>
      <c r="F35" s="61"/>
      <c r="G35" s="12">
        <f>July!G35+F35</f>
        <v>0</v>
      </c>
    </row>
    <row r="36" spans="1:7" x14ac:dyDescent="0.2">
      <c r="A36" s="11" t="s">
        <v>33</v>
      </c>
      <c r="B36" s="82"/>
      <c r="C36" s="12">
        <f>July!C36+B36</f>
        <v>0</v>
      </c>
      <c r="D36" s="84"/>
      <c r="E36" s="12">
        <f>July!E36+D36</f>
        <v>0</v>
      </c>
      <c r="F36" s="61"/>
      <c r="G36" s="12">
        <f>July!G36+F36</f>
        <v>0</v>
      </c>
    </row>
    <row r="37" spans="1:7" x14ac:dyDescent="0.2">
      <c r="A37" s="11" t="s">
        <v>34</v>
      </c>
      <c r="B37" s="82">
        <f>500+500+725+750+400+400+700+750+1600+750+400+400+750+750+126934</f>
        <v>136309</v>
      </c>
      <c r="C37" s="12">
        <f>July!C37+B37</f>
        <v>1082807</v>
      </c>
      <c r="D37" s="84"/>
      <c r="E37" s="12">
        <f>July!E37+D37</f>
        <v>1</v>
      </c>
      <c r="F37" s="61"/>
      <c r="G37" s="12">
        <f>July!G37+F37</f>
        <v>0</v>
      </c>
    </row>
    <row r="38" spans="1:7" x14ac:dyDescent="0.2">
      <c r="A38" s="11" t="s">
        <v>35</v>
      </c>
      <c r="B38" s="82">
        <f>1250+2600+1300+2550+850+2550+1200+1000+1200+1000+1000+1000+1250+1250+1000+2500+2550+2500</f>
        <v>28550</v>
      </c>
      <c r="C38" s="12">
        <f>July!C38+B38</f>
        <v>263480</v>
      </c>
      <c r="D38" s="84">
        <f>110+315+60+150+150+130+2</f>
        <v>917</v>
      </c>
      <c r="E38" s="12">
        <f>July!E38+D38</f>
        <v>5182</v>
      </c>
      <c r="F38" s="61"/>
      <c r="G38" s="12">
        <f>July!G38+F38</f>
        <v>0</v>
      </c>
    </row>
    <row r="39" spans="1:7" x14ac:dyDescent="0.2">
      <c r="A39" s="11" t="s">
        <v>36</v>
      </c>
      <c r="B39" s="82">
        <f>750+10890</f>
        <v>11640</v>
      </c>
      <c r="C39" s="12">
        <f>July!C39+B39</f>
        <v>103955</v>
      </c>
      <c r="D39" s="84">
        <f>1+1400</f>
        <v>1401</v>
      </c>
      <c r="E39" s="12">
        <f>July!E39+D39</f>
        <v>8179</v>
      </c>
      <c r="F39" s="61"/>
      <c r="G39" s="12">
        <f>July!G39+F39</f>
        <v>0</v>
      </c>
    </row>
    <row r="40" spans="1:7" x14ac:dyDescent="0.2">
      <c r="A40" s="11" t="s">
        <v>37</v>
      </c>
      <c r="B40" s="82">
        <f>430+300+500+325+460+193+1725+190+2160+2160+2160+1740+2160+2160+2170+1000+1010+2050+2160+1650+20+2160+2075+1950+220+1890+2160+225+325+1700+500+460+450+500+224+200656</f>
        <v>242218</v>
      </c>
      <c r="C40" s="12">
        <f>July!C40+B40</f>
        <v>1881627</v>
      </c>
      <c r="D40" s="84"/>
      <c r="E40" s="12">
        <f>July!E40+D40</f>
        <v>263</v>
      </c>
      <c r="F40" s="61"/>
      <c r="G40" s="12">
        <f>July!G40+F40</f>
        <v>0</v>
      </c>
    </row>
    <row r="41" spans="1:7" x14ac:dyDescent="0.2">
      <c r="A41" s="11" t="s">
        <v>38</v>
      </c>
      <c r="B41" s="82"/>
      <c r="C41" s="12">
        <f>July!C41+B41</f>
        <v>0</v>
      </c>
      <c r="D41" s="84"/>
      <c r="E41" s="12">
        <f>July!E41+D41</f>
        <v>0</v>
      </c>
      <c r="F41" s="61"/>
      <c r="G41" s="12">
        <f>July!G41+F41</f>
        <v>0</v>
      </c>
    </row>
    <row r="42" spans="1:7" x14ac:dyDescent="0.2">
      <c r="A42" s="11" t="s">
        <v>39</v>
      </c>
      <c r="B42" s="82"/>
      <c r="C42" s="12">
        <f>July!C42+B42</f>
        <v>9661</v>
      </c>
      <c r="D42" s="84">
        <f>1+2+690</f>
        <v>693</v>
      </c>
      <c r="E42" s="12">
        <f>July!E42+D42</f>
        <v>4529</v>
      </c>
      <c r="F42" s="61"/>
      <c r="G42" s="12">
        <f>July!G42+F42</f>
        <v>0</v>
      </c>
    </row>
    <row r="43" spans="1:7" x14ac:dyDescent="0.2">
      <c r="A43" s="11" t="s">
        <v>40</v>
      </c>
      <c r="B43" s="82"/>
      <c r="C43" s="12">
        <f>July!C43+B43</f>
        <v>0</v>
      </c>
      <c r="D43" s="84"/>
      <c r="E43" s="12">
        <f>July!E43+D43</f>
        <v>0</v>
      </c>
      <c r="F43" s="61"/>
      <c r="G43" s="12">
        <f>July!G43+F43</f>
        <v>0</v>
      </c>
    </row>
    <row r="44" spans="1:7" x14ac:dyDescent="0.2">
      <c r="A44" s="11" t="s">
        <v>41</v>
      </c>
      <c r="B44" s="82"/>
      <c r="C44" s="12">
        <f>July!C44+B44</f>
        <v>0</v>
      </c>
      <c r="D44" s="84"/>
      <c r="E44" s="12">
        <f>July!E44+D44</f>
        <v>0</v>
      </c>
      <c r="F44" s="61"/>
      <c r="G44" s="12">
        <f>July!G44+F44</f>
        <v>0</v>
      </c>
    </row>
    <row r="45" spans="1:7" x14ac:dyDescent="0.2">
      <c r="A45" s="11" t="s">
        <v>42</v>
      </c>
      <c r="B45" s="82">
        <f>1800+1300+1400+640+640+640+640+640+1000+600+600+600+600+23181</f>
        <v>34281</v>
      </c>
      <c r="C45" s="12">
        <f>July!C45+B45</f>
        <v>360759</v>
      </c>
      <c r="D45" s="84">
        <f>132+64+135+3+15+3+15+236</f>
        <v>603</v>
      </c>
      <c r="E45" s="12">
        <f>July!E45+D45</f>
        <v>9357</v>
      </c>
      <c r="F45" s="61"/>
      <c r="G45" s="12">
        <f>July!G45+F45</f>
        <v>0</v>
      </c>
    </row>
    <row r="46" spans="1:7" x14ac:dyDescent="0.2">
      <c r="A46" s="11" t="s">
        <v>43</v>
      </c>
      <c r="B46" s="82"/>
      <c r="C46" s="12">
        <f>July!C46+B46</f>
        <v>403</v>
      </c>
      <c r="D46" s="84"/>
      <c r="E46" s="12">
        <f>July!E46+D46</f>
        <v>113</v>
      </c>
      <c r="F46" s="61"/>
      <c r="G46" s="12">
        <f>July!G46+F46</f>
        <v>0</v>
      </c>
    </row>
    <row r="47" spans="1:7" x14ac:dyDescent="0.2">
      <c r="A47" s="11" t="s">
        <v>44</v>
      </c>
      <c r="B47" s="82">
        <v>43829</v>
      </c>
      <c r="C47" s="12">
        <f>July!C47+B47</f>
        <v>439146</v>
      </c>
      <c r="D47" s="84">
        <f>8</f>
        <v>8</v>
      </c>
      <c r="E47" s="12">
        <f>July!E47+D47</f>
        <v>292</v>
      </c>
      <c r="F47" s="61"/>
      <c r="G47" s="12">
        <f>July!G47+F47</f>
        <v>0</v>
      </c>
    </row>
    <row r="48" spans="1:7" x14ac:dyDescent="0.2">
      <c r="A48" s="11" t="s">
        <v>45</v>
      </c>
      <c r="B48" s="82">
        <v>38330</v>
      </c>
      <c r="C48" s="12">
        <f>July!C48+B48</f>
        <v>289670</v>
      </c>
      <c r="D48" s="84"/>
      <c r="E48" s="12">
        <f>July!E48+D48</f>
        <v>0</v>
      </c>
      <c r="F48" s="61">
        <f>60</f>
        <v>60</v>
      </c>
      <c r="G48" s="12">
        <f>July!G48+F48</f>
        <v>101</v>
      </c>
    </row>
    <row r="49" spans="1:256" x14ac:dyDescent="0.2">
      <c r="A49" s="11" t="s">
        <v>46</v>
      </c>
      <c r="B49" s="82"/>
      <c r="C49" s="12">
        <f>July!C49+B49</f>
        <v>0</v>
      </c>
      <c r="D49" s="84"/>
      <c r="E49" s="12">
        <f>July!E49+D49</f>
        <v>0</v>
      </c>
      <c r="F49" s="61"/>
      <c r="G49" s="12">
        <f>July!G49+F49</f>
        <v>0</v>
      </c>
    </row>
    <row r="50" spans="1:256" x14ac:dyDescent="0.2">
      <c r="A50" s="11" t="s">
        <v>47</v>
      </c>
      <c r="B50" s="82"/>
      <c r="C50" s="12">
        <f>July!C50+B50</f>
        <v>0</v>
      </c>
      <c r="D50" s="84"/>
      <c r="E50" s="12">
        <f>July!E50+D50</f>
        <v>2</v>
      </c>
      <c r="F50" s="61"/>
      <c r="G50" s="12">
        <f>July!G50+F50</f>
        <v>0</v>
      </c>
    </row>
    <row r="51" spans="1:256" x14ac:dyDescent="0.2">
      <c r="A51" s="11" t="s">
        <v>48</v>
      </c>
      <c r="B51" s="82"/>
      <c r="C51" s="12">
        <f>July!C51+B51</f>
        <v>0</v>
      </c>
      <c r="D51" s="84"/>
      <c r="E51" s="12">
        <f>July!E51+D51</f>
        <v>0</v>
      </c>
      <c r="F51" s="61"/>
      <c r="G51" s="12">
        <f>July!G51+F51</f>
        <v>0</v>
      </c>
    </row>
    <row r="52" spans="1:256" x14ac:dyDescent="0.2">
      <c r="A52" s="11" t="s">
        <v>49</v>
      </c>
      <c r="B52" s="82"/>
      <c r="C52" s="12">
        <f>July!C52+B52</f>
        <v>0</v>
      </c>
      <c r="D52" s="84"/>
      <c r="E52" s="12">
        <f>July!E52+D52</f>
        <v>0</v>
      </c>
      <c r="F52" s="61"/>
      <c r="G52" s="12">
        <f>July!G52+F52</f>
        <v>0</v>
      </c>
    </row>
    <row r="53" spans="1:256" x14ac:dyDescent="0.2">
      <c r="A53" s="11" t="s">
        <v>50</v>
      </c>
      <c r="B53" s="82">
        <f>300+200+200+200+200+350+100+400+250+325+275+250+250+125+175+200+20+850+850+400+450+975+975+15+2000+625+130</f>
        <v>11090</v>
      </c>
      <c r="C53" s="12">
        <f>July!C53+B53</f>
        <v>124872</v>
      </c>
      <c r="D53" s="84">
        <f>3+2+1+3</f>
        <v>9</v>
      </c>
      <c r="E53" s="12">
        <f>July!E53+D53</f>
        <v>2752</v>
      </c>
      <c r="F53" s="61"/>
      <c r="G53" s="12">
        <f>July!G53+F53</f>
        <v>0</v>
      </c>
    </row>
    <row r="54" spans="1:256" ht="15.75" thickBot="1" x14ac:dyDescent="0.25">
      <c r="A54" s="11" t="s">
        <v>51</v>
      </c>
      <c r="B54" s="82">
        <f>1000+1000+1000+2000+2360+1860+1910+765+1625+1725+900+875+1900+1895+2100+2360</f>
        <v>25275</v>
      </c>
      <c r="C54" s="12">
        <f>July!C54+B54</f>
        <v>231531</v>
      </c>
      <c r="D54" s="84"/>
      <c r="E54" s="12">
        <f>July!E54+D54</f>
        <v>323</v>
      </c>
      <c r="F54" s="61"/>
      <c r="G54" s="12">
        <f>July!G54+F54</f>
        <v>0</v>
      </c>
    </row>
    <row r="55" spans="1:256" ht="26.1" customHeight="1" thickBot="1" x14ac:dyDescent="0.25">
      <c r="A55" s="14" t="s">
        <v>53</v>
      </c>
      <c r="B55" s="15">
        <f>SUM(B7:B54)</f>
        <v>2181496</v>
      </c>
      <c r="C55" s="15">
        <f>July!C55+B55</f>
        <v>16882644.46875</v>
      </c>
      <c r="D55" s="15">
        <f>SUM(D7:D54)</f>
        <v>14077</v>
      </c>
      <c r="E55" s="15">
        <f>July!E55+D55</f>
        <v>106892</v>
      </c>
      <c r="F55" s="15">
        <f>SUM(F7:F54)</f>
        <v>12635</v>
      </c>
      <c r="G55" s="15">
        <f>July!G55+F55</f>
        <v>105974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>
        <v>100</v>
      </c>
      <c r="D58" s="24">
        <f>July!D58+C58</f>
        <v>200</v>
      </c>
      <c r="E58" s="18"/>
    </row>
    <row r="59" spans="1:256" x14ac:dyDescent="0.2">
      <c r="A59" s="1" t="s">
        <v>56</v>
      </c>
      <c r="B59" s="23"/>
      <c r="C59" s="23">
        <v>2435</v>
      </c>
      <c r="D59" s="24">
        <f>July!D59+C59</f>
        <v>16600</v>
      </c>
    </row>
    <row r="60" spans="1:256" x14ac:dyDescent="0.2">
      <c r="A60" s="1" t="s">
        <v>57</v>
      </c>
      <c r="B60" s="23"/>
      <c r="C60" s="23">
        <v>300</v>
      </c>
      <c r="D60" s="24">
        <f>July!D60+C60</f>
        <v>300</v>
      </c>
    </row>
    <row r="61" spans="1:256" x14ac:dyDescent="0.2">
      <c r="A61" s="1" t="s">
        <v>58</v>
      </c>
      <c r="B61" s="23"/>
      <c r="C61" s="23"/>
      <c r="D61" s="24">
        <f>July!D61+C61</f>
        <v>0</v>
      </c>
    </row>
    <row r="62" spans="1:256" x14ac:dyDescent="0.2">
      <c r="A62" s="1" t="s">
        <v>59</v>
      </c>
      <c r="B62" s="23"/>
      <c r="C62" s="23">
        <f>50+50+90+90+50+90+60+55+120+65+90+90+30+85+18+52+30+175+280+115+110+280+135+45+175+300+115+45+135+280+110+20+8+15+50+250+10+12+175+8+20+112+40+32+116+80+8+12+10+8+10+10+175+18+10+20+223+270+1790+647+204+1124+2280+35+1320+1400+1400+1282+1290+175+300+115+45+135+300+110+115+475+45+135+110+325+170+90+40+40+50+90+55+115+300+175+110+45+300+135+4500</f>
        <v>26509</v>
      </c>
      <c r="D62" s="24">
        <f>July!D62+C62</f>
        <v>243800</v>
      </c>
    </row>
    <row r="63" spans="1:256" x14ac:dyDescent="0.2">
      <c r="A63" s="1" t="s">
        <v>65</v>
      </c>
      <c r="B63" s="23"/>
      <c r="C63" s="23">
        <f>310+95+270+70+106+45+90+75+170+80+30+566+24+310+256+170+75+90+52+78+348+80+260+45+310+30+95+290+90+45+106+70+80+170+75+431+310+235+190+75+240+45+290+90+45+106+70+95+310+410+393+52+30+90+170+75+20+262+80+310+200+140+90+175+253+310+75+240+52+90+45+80+170+75+465+635</f>
        <v>12575</v>
      </c>
      <c r="D63" s="24">
        <f>July!D63+C63</f>
        <v>79893</v>
      </c>
    </row>
    <row r="64" spans="1:256" x14ac:dyDescent="0.2">
      <c r="A64" s="1" t="s">
        <v>63</v>
      </c>
      <c r="B64" s="23"/>
      <c r="C64" s="23">
        <f>250+90+170+80+250+260+170+72+130+115+110+90+250+120+140+170+150+40+75+85+72+40+130+145+250+280+170+150+72+130+90+110+40+72+20+75+40+220+170+140+120+55+175+80+270+35+70+43+175+48+70+80+70+152+22+43+35+150+70+33+12+52+22+19+74+230+70+57+40+15+20+175+46+70+15+70+180+15+74+230+15+57+40+19+175+36+110+35+70+183+12+78+22+52+180+80+35+120+450+180+170+110+72+130+115+72+40+125+250+120+140+170+75+85+40+170+190+350+180+170+110+130+115+72+125+250+120+140+170+40+85+85+72+40+130+140+50+130+140+140+140+140+130+72+140+190+130+19+74+245+70+57+40+65+175+42+70+35+70+180+15+24+16+35+42+43+184+70+40+80+33+12+175+46+70+35+70+150+19+141+22+52+245+70+57+40+175+54+105+70+150+33+12+35+43+148+74+80+70+80+175+40+70+35+70+150</f>
        <v>21061</v>
      </c>
      <c r="D64" s="24">
        <f>July!D64+C64</f>
        <v>116676</v>
      </c>
    </row>
    <row r="65" spans="1:4" x14ac:dyDescent="0.2">
      <c r="A65" s="1" t="s">
        <v>60</v>
      </c>
      <c r="C65" s="23"/>
      <c r="D65" s="24">
        <f>July!D65+C65</f>
        <v>0</v>
      </c>
    </row>
    <row r="66" spans="1:4" x14ac:dyDescent="0.2">
      <c r="A66" s="1" t="s">
        <v>61</v>
      </c>
      <c r="C66" s="23">
        <f>140+70+87+52+160+188+76+75+85+52+90+118+70+90+140+150+80+52+140+188+80+60+52+87+12+90+140+70+52+150+188+70+52+90+140+80+67+52+150+188+231+75+83+52+305</f>
        <v>4719</v>
      </c>
      <c r="D66" s="24">
        <f>July!D66+C66</f>
        <v>42766</v>
      </c>
    </row>
    <row r="67" spans="1:4" x14ac:dyDescent="0.2">
      <c r="A67" s="1" t="s">
        <v>62</v>
      </c>
      <c r="C67" s="23">
        <v>850</v>
      </c>
      <c r="D67" s="24">
        <f>July!D67+C67</f>
        <v>7650</v>
      </c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tabSelected="1" defaultGridColor="0" colorId="22" zoomScale="75" zoomScaleNormal="75" zoomScaleSheetLayoutView="75" workbookViewId="0">
      <pane ySplit="6" topLeftCell="A22" activePane="bottomLeft" state="frozen"/>
      <selection pane="bottomLeft" activeCell="B29" sqref="B29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3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73</v>
      </c>
      <c r="I2" s="2"/>
    </row>
    <row r="3" spans="1:256" ht="12.95" customHeight="1" x14ac:dyDescent="0.25">
      <c r="F3" t="s">
        <v>77</v>
      </c>
      <c r="I3" s="2"/>
    </row>
    <row r="4" spans="1:256" ht="12.95" customHeight="1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ht="15" customHeight="1" x14ac:dyDescent="0.2">
      <c r="A7" s="11" t="s">
        <v>6</v>
      </c>
      <c r="B7" s="82"/>
      <c r="C7" s="12">
        <f>August!C7+B7</f>
        <v>71629</v>
      </c>
      <c r="D7" s="84"/>
      <c r="E7" s="12">
        <f>August!E7+D7</f>
        <v>0</v>
      </c>
      <c r="F7" s="61"/>
      <c r="G7" s="12">
        <f>August!G7+F7</f>
        <v>0</v>
      </c>
    </row>
    <row r="8" spans="1:256" ht="15" customHeight="1" x14ac:dyDescent="0.2">
      <c r="A8" s="11" t="s">
        <v>64</v>
      </c>
      <c r="B8" s="82"/>
      <c r="C8" s="12">
        <f>August!C8+B8</f>
        <v>1</v>
      </c>
      <c r="D8" s="84"/>
      <c r="E8" s="12">
        <f>August!E8+D8</f>
        <v>19</v>
      </c>
      <c r="F8" s="61"/>
      <c r="G8" s="12">
        <f>August!G8+F8</f>
        <v>0</v>
      </c>
    </row>
    <row r="9" spans="1:256" ht="15" customHeight="1" x14ac:dyDescent="0.2">
      <c r="A9" s="11" t="s">
        <v>7</v>
      </c>
      <c r="B9" s="82"/>
      <c r="C9" s="12">
        <f>August!C9+B9</f>
        <v>221430</v>
      </c>
      <c r="D9" s="84"/>
      <c r="E9" s="12">
        <f>August!E9+D9</f>
        <v>40</v>
      </c>
      <c r="F9" s="61"/>
      <c r="G9" s="12">
        <f>August!G9+F9</f>
        <v>0</v>
      </c>
    </row>
    <row r="10" spans="1:256" ht="15" customHeight="1" x14ac:dyDescent="0.2">
      <c r="A10" s="11" t="s">
        <v>8</v>
      </c>
      <c r="B10" s="82"/>
      <c r="C10" s="12">
        <f>August!C10+B10</f>
        <v>0</v>
      </c>
      <c r="D10" s="84"/>
      <c r="E10" s="12">
        <f>August!E10+D10</f>
        <v>47</v>
      </c>
      <c r="F10" s="61"/>
      <c r="G10" s="12">
        <f>August!G10+F10</f>
        <v>0</v>
      </c>
    </row>
    <row r="11" spans="1:256" ht="15" customHeight="1" x14ac:dyDescent="0.2">
      <c r="A11" s="11" t="s">
        <v>9</v>
      </c>
      <c r="B11" s="82">
        <f>500+650+650+650+650</f>
        <v>3100</v>
      </c>
      <c r="C11" s="12">
        <f>August!C12+B11</f>
        <v>937525</v>
      </c>
      <c r="D11" s="84"/>
      <c r="E11" s="12">
        <f>August!E12+D11</f>
        <v>364</v>
      </c>
      <c r="F11" s="61"/>
      <c r="G11" s="12">
        <f>August!G12+F11</f>
        <v>0</v>
      </c>
    </row>
    <row r="12" spans="1:256" ht="15" customHeight="1" x14ac:dyDescent="0.2">
      <c r="A12" s="11" t="s">
        <v>10</v>
      </c>
      <c r="B12" s="82"/>
      <c r="C12" s="12">
        <f>August!C13+B12</f>
        <v>0</v>
      </c>
      <c r="D12" s="84"/>
      <c r="E12" s="12">
        <f>August!E13+D12</f>
        <v>0</v>
      </c>
      <c r="F12" s="61"/>
      <c r="G12" s="12">
        <f>August!G13+F12</f>
        <v>0</v>
      </c>
    </row>
    <row r="13" spans="1:256" ht="15" customHeight="1" x14ac:dyDescent="0.2">
      <c r="A13" s="11" t="s">
        <v>11</v>
      </c>
      <c r="B13" s="82"/>
      <c r="C13" s="12">
        <f>August!C14+B13</f>
        <v>0</v>
      </c>
      <c r="D13" s="84"/>
      <c r="E13" s="12">
        <f>August!E14+D13</f>
        <v>0</v>
      </c>
      <c r="F13" s="61"/>
      <c r="G13" s="12">
        <f>August!G14+F13</f>
        <v>0</v>
      </c>
    </row>
    <row r="14" spans="1:256" ht="15" customHeight="1" x14ac:dyDescent="0.2">
      <c r="A14" s="11" t="s">
        <v>12</v>
      </c>
      <c r="B14" s="82"/>
      <c r="C14" s="12">
        <f>August!C15+B14</f>
        <v>0</v>
      </c>
      <c r="D14" s="84"/>
      <c r="E14" s="12">
        <f>August!E15+D14</f>
        <v>0</v>
      </c>
      <c r="F14" s="61"/>
      <c r="G14" s="12">
        <f>August!G15+F14</f>
        <v>0</v>
      </c>
    </row>
    <row r="15" spans="1:256" ht="15" customHeight="1" x14ac:dyDescent="0.2">
      <c r="A15" s="11" t="s">
        <v>13</v>
      </c>
      <c r="B15" s="82"/>
      <c r="C15" s="12">
        <f>August!C16+B15</f>
        <v>38522</v>
      </c>
      <c r="D15" s="84"/>
      <c r="E15" s="12">
        <f>August!E16+D15</f>
        <v>1</v>
      </c>
      <c r="F15" s="61"/>
      <c r="G15" s="12">
        <f>August!G16+F15</f>
        <v>0</v>
      </c>
    </row>
    <row r="16" spans="1:256" ht="15" customHeight="1" x14ac:dyDescent="0.2">
      <c r="A16" s="11" t="s">
        <v>14</v>
      </c>
      <c r="B16" s="82"/>
      <c r="C16" s="12">
        <f>August!C17+B16</f>
        <v>0</v>
      </c>
      <c r="D16" s="84"/>
      <c r="E16" s="12">
        <f>August!E17+D16</f>
        <v>2</v>
      </c>
      <c r="F16" s="61"/>
      <c r="G16" s="12">
        <f>August!G17+F16</f>
        <v>0</v>
      </c>
    </row>
    <row r="17" spans="1:7" ht="15" customHeight="1" x14ac:dyDescent="0.2">
      <c r="A17" s="11" t="s">
        <v>15</v>
      </c>
      <c r="B17" s="82"/>
      <c r="C17" s="12">
        <f>August!C18+B17</f>
        <v>2816751</v>
      </c>
      <c r="D17" s="84"/>
      <c r="E17" s="12">
        <f>August!E18+D17</f>
        <v>14469</v>
      </c>
      <c r="F17" s="61"/>
      <c r="G17" s="12">
        <f>August!G18+F17</f>
        <v>0</v>
      </c>
    </row>
    <row r="18" spans="1:7" ht="15" customHeight="1" x14ac:dyDescent="0.2">
      <c r="A18" s="11" t="s">
        <v>16</v>
      </c>
      <c r="B18" s="82"/>
      <c r="C18" s="12">
        <f>August!C19+B18</f>
        <v>109472</v>
      </c>
      <c r="D18" s="84"/>
      <c r="E18" s="12">
        <f>August!E19+D18</f>
        <v>1504</v>
      </c>
      <c r="F18" s="61"/>
      <c r="G18" s="12">
        <f>August!G19+F18</f>
        <v>0</v>
      </c>
    </row>
    <row r="19" spans="1:7" ht="15" customHeight="1" x14ac:dyDescent="0.2">
      <c r="A19" s="11" t="s">
        <v>17</v>
      </c>
      <c r="B19" s="82">
        <f>1460+1460</f>
        <v>2920</v>
      </c>
      <c r="C19" s="12">
        <f>August!C20+B19</f>
        <v>153763</v>
      </c>
      <c r="D19" s="84">
        <f>3</f>
        <v>3</v>
      </c>
      <c r="E19" s="12">
        <f>August!E20+D19</f>
        <v>3146</v>
      </c>
      <c r="F19" s="61"/>
      <c r="G19" s="12">
        <f>August!G20+F19</f>
        <v>0</v>
      </c>
    </row>
    <row r="20" spans="1:7" ht="15" customHeight="1" x14ac:dyDescent="0.2">
      <c r="A20" s="11" t="s">
        <v>18</v>
      </c>
      <c r="B20" s="82"/>
      <c r="C20" s="12">
        <f>August!C21+B20</f>
        <v>58</v>
      </c>
      <c r="D20" s="84"/>
      <c r="E20" s="12">
        <f>August!E21+D20</f>
        <v>887</v>
      </c>
      <c r="F20" s="61"/>
      <c r="G20" s="12">
        <f>August!G21+F20</f>
        <v>0</v>
      </c>
    </row>
    <row r="21" spans="1:7" ht="15" customHeight="1" x14ac:dyDescent="0.2">
      <c r="A21" s="11" t="s">
        <v>19</v>
      </c>
      <c r="B21" s="82"/>
      <c r="C21" s="12">
        <f>August!C22+B21</f>
        <v>0</v>
      </c>
      <c r="D21" s="84"/>
      <c r="E21" s="12">
        <f>August!E22+D21</f>
        <v>0</v>
      </c>
      <c r="F21" s="61"/>
      <c r="G21" s="12">
        <f>August!G22+F21</f>
        <v>0</v>
      </c>
    </row>
    <row r="22" spans="1:7" ht="15" customHeight="1" x14ac:dyDescent="0.2">
      <c r="A22" s="11" t="s">
        <v>20</v>
      </c>
      <c r="B22" s="82"/>
      <c r="C22" s="12">
        <f>August!C23+B22</f>
        <v>0</v>
      </c>
      <c r="D22" s="84"/>
      <c r="E22" s="12">
        <f>August!E23+D22</f>
        <v>0</v>
      </c>
      <c r="F22" s="61"/>
      <c r="G22" s="12">
        <f>August!G23+F22</f>
        <v>0</v>
      </c>
    </row>
    <row r="23" spans="1:7" ht="15" customHeight="1" x14ac:dyDescent="0.2">
      <c r="A23" s="11" t="s">
        <v>21</v>
      </c>
      <c r="B23" s="82"/>
      <c r="C23" s="12">
        <f>August!C24+B23</f>
        <v>0</v>
      </c>
      <c r="D23" s="84"/>
      <c r="E23" s="12">
        <f>August!E24+D23</f>
        <v>1</v>
      </c>
      <c r="F23" s="61"/>
      <c r="G23" s="12">
        <f>August!G24+F23</f>
        <v>0</v>
      </c>
    </row>
    <row r="24" spans="1:7" ht="15" customHeight="1" x14ac:dyDescent="0.2">
      <c r="A24" s="11" t="s">
        <v>22</v>
      </c>
      <c r="B24" s="82"/>
      <c r="C24" s="12">
        <f>August!C25+B24</f>
        <v>0</v>
      </c>
      <c r="D24" s="84"/>
      <c r="E24" s="12">
        <f>August!E25+D24</f>
        <v>0</v>
      </c>
      <c r="F24" s="61"/>
      <c r="G24" s="12">
        <f>August!G25+F24</f>
        <v>0</v>
      </c>
    </row>
    <row r="25" spans="1:7" ht="15" customHeight="1" x14ac:dyDescent="0.2">
      <c r="A25" s="11" t="s">
        <v>23</v>
      </c>
      <c r="B25" s="82"/>
      <c r="C25" s="12">
        <f>August!C26+B25</f>
        <v>6803</v>
      </c>
      <c r="D25" s="84"/>
      <c r="E25" s="12">
        <f>August!E26+D25</f>
        <v>12667</v>
      </c>
      <c r="F25" s="61"/>
      <c r="G25" s="12">
        <f>August!G26+F25</f>
        <v>0</v>
      </c>
    </row>
    <row r="26" spans="1:7" ht="15" customHeight="1" x14ac:dyDescent="0.2">
      <c r="A26" s="11" t="s">
        <v>24</v>
      </c>
      <c r="B26" s="82"/>
      <c r="C26" s="12">
        <f>August!C27+B26</f>
        <v>1574817</v>
      </c>
      <c r="D26" s="84"/>
      <c r="E26" s="12">
        <f>August!E27+D26</f>
        <v>14744</v>
      </c>
      <c r="F26" s="61"/>
      <c r="G26" s="12">
        <f>August!G27+F26</f>
        <v>6588</v>
      </c>
    </row>
    <row r="27" spans="1:7" ht="15" customHeight="1" x14ac:dyDescent="0.2">
      <c r="A27" s="11" t="s">
        <v>25</v>
      </c>
      <c r="B27" s="82"/>
      <c r="C27" s="12">
        <f>August!C28+B27</f>
        <v>326976.46875</v>
      </c>
      <c r="D27" s="84"/>
      <c r="E27" s="12">
        <f>August!E28+D27</f>
        <v>7</v>
      </c>
      <c r="F27" s="61"/>
      <c r="G27" s="12">
        <f>August!G28+F27</f>
        <v>0</v>
      </c>
    </row>
    <row r="28" spans="1:7" ht="15" customHeight="1" x14ac:dyDescent="0.2">
      <c r="A28" s="11" t="s">
        <v>26</v>
      </c>
      <c r="B28" s="82">
        <f>353+581+582+75</f>
        <v>1591</v>
      </c>
      <c r="C28" s="12">
        <f>August!C29+B28</f>
        <v>2279953</v>
      </c>
      <c r="D28" s="84">
        <f>160</f>
        <v>160</v>
      </c>
      <c r="E28" s="12">
        <f>August!E29+D28</f>
        <v>1149</v>
      </c>
      <c r="F28" s="61"/>
      <c r="G28" s="12">
        <f>August!G29+F28</f>
        <v>76</v>
      </c>
    </row>
    <row r="29" spans="1:7" ht="15" customHeight="1" x14ac:dyDescent="0.2">
      <c r="A29" s="11" t="s">
        <v>27</v>
      </c>
      <c r="B29" s="82"/>
      <c r="C29" s="12">
        <f>August!C30+B29</f>
        <v>57598</v>
      </c>
      <c r="D29" s="84"/>
      <c r="E29" s="12">
        <f>August!E30+D29</f>
        <v>0</v>
      </c>
      <c r="F29" s="61"/>
      <c r="G29" s="12">
        <f>August!G30+F29</f>
        <v>0</v>
      </c>
    </row>
    <row r="30" spans="1:7" ht="15" customHeight="1" x14ac:dyDescent="0.2">
      <c r="A30" s="11" t="s">
        <v>28</v>
      </c>
      <c r="B30" s="82">
        <f>240+650+500+600+650+150+590+600+180+250+325+625+450+41+518+1000+518+1000</f>
        <v>8887</v>
      </c>
      <c r="C30" s="12">
        <f>August!C31+B30</f>
        <v>1368678</v>
      </c>
      <c r="D30" s="84">
        <f>80+70+700+30+44+29+7+47+15+130+1</f>
        <v>1153</v>
      </c>
      <c r="E30" s="12">
        <f>August!E31+D30</f>
        <v>22147</v>
      </c>
      <c r="F30" s="61"/>
      <c r="G30" s="12">
        <f>August!G31+F30</f>
        <v>155</v>
      </c>
    </row>
    <row r="31" spans="1:7" ht="15" customHeight="1" x14ac:dyDescent="0.2">
      <c r="A31" s="11" t="s">
        <v>29</v>
      </c>
      <c r="B31" s="82"/>
      <c r="C31" s="12">
        <f>August!C32+B31</f>
        <v>0</v>
      </c>
      <c r="D31" s="84"/>
      <c r="E31" s="12">
        <f>August!E32+D31</f>
        <v>1</v>
      </c>
      <c r="F31" s="61"/>
      <c r="G31" s="12">
        <f>August!G32+F31</f>
        <v>0</v>
      </c>
    </row>
    <row r="32" spans="1:7" ht="15" customHeight="1" x14ac:dyDescent="0.2">
      <c r="A32" s="11" t="s">
        <v>30</v>
      </c>
      <c r="B32" s="82"/>
      <c r="C32" s="12">
        <f>August!C33+B32</f>
        <v>0</v>
      </c>
      <c r="D32" s="84"/>
      <c r="E32" s="12">
        <f>August!E33+D32</f>
        <v>0</v>
      </c>
      <c r="F32" s="61"/>
      <c r="G32" s="12">
        <f>August!G33+F32</f>
        <v>0</v>
      </c>
    </row>
    <row r="33" spans="1:7" ht="15" customHeight="1" x14ac:dyDescent="0.2">
      <c r="A33" s="11" t="s">
        <v>31</v>
      </c>
      <c r="B33" s="82"/>
      <c r="C33" s="12">
        <f>August!C34+B33</f>
        <v>0</v>
      </c>
      <c r="D33" s="84"/>
      <c r="E33" s="12">
        <f>August!E34+D33</f>
        <v>0</v>
      </c>
      <c r="F33" s="61"/>
      <c r="G33" s="12">
        <f>August!G34+F33</f>
        <v>0</v>
      </c>
    </row>
    <row r="34" spans="1:7" ht="15" customHeight="1" x14ac:dyDescent="0.2">
      <c r="A34" s="11" t="s">
        <v>32</v>
      </c>
      <c r="B34" s="82"/>
      <c r="C34" s="12">
        <f>August!C35+B34</f>
        <v>0</v>
      </c>
      <c r="D34" s="84"/>
      <c r="E34" s="12">
        <f>August!E35+D34</f>
        <v>0</v>
      </c>
      <c r="F34" s="61"/>
      <c r="G34" s="12">
        <f>August!G35+F34</f>
        <v>0</v>
      </c>
    </row>
    <row r="35" spans="1:7" ht="15" customHeight="1" x14ac:dyDescent="0.2">
      <c r="A35" s="11" t="s">
        <v>33</v>
      </c>
      <c r="B35" s="82"/>
      <c r="C35" s="12">
        <f>August!C36+B35</f>
        <v>0</v>
      </c>
      <c r="D35" s="84">
        <f>1</f>
        <v>1</v>
      </c>
      <c r="E35" s="12">
        <f>August!E36+D35</f>
        <v>1</v>
      </c>
      <c r="F35" s="61"/>
      <c r="G35" s="12">
        <f>August!G36+F35</f>
        <v>0</v>
      </c>
    </row>
    <row r="36" spans="1:7" ht="15" customHeight="1" x14ac:dyDescent="0.2">
      <c r="A36" s="11" t="s">
        <v>34</v>
      </c>
      <c r="B36" s="82"/>
      <c r="C36" s="12">
        <f>August!C37+B36</f>
        <v>1082807</v>
      </c>
      <c r="D36" s="84"/>
      <c r="E36" s="12">
        <f>August!E37+D36</f>
        <v>1</v>
      </c>
      <c r="F36" s="61"/>
      <c r="G36" s="12">
        <f>August!G37+F36</f>
        <v>0</v>
      </c>
    </row>
    <row r="37" spans="1:7" ht="15" customHeight="1" x14ac:dyDescent="0.2">
      <c r="A37" s="11" t="s">
        <v>35</v>
      </c>
      <c r="B37" s="82"/>
      <c r="C37" s="12">
        <f>August!C38+B37</f>
        <v>263480</v>
      </c>
      <c r="D37" s="84"/>
      <c r="E37" s="12">
        <f>August!E38+D37</f>
        <v>5182</v>
      </c>
      <c r="F37" s="61"/>
      <c r="G37" s="12">
        <f>August!G38+F37</f>
        <v>0</v>
      </c>
    </row>
    <row r="38" spans="1:7" ht="15" customHeight="1" x14ac:dyDescent="0.2">
      <c r="A38" s="11" t="s">
        <v>36</v>
      </c>
      <c r="B38" s="82">
        <f>1200</f>
        <v>1200</v>
      </c>
      <c r="C38" s="12">
        <f>August!C39+B38</f>
        <v>105155</v>
      </c>
      <c r="D38" s="84">
        <f>3</f>
        <v>3</v>
      </c>
      <c r="E38" s="12">
        <f>August!E39+D38</f>
        <v>8182</v>
      </c>
      <c r="F38" s="61"/>
      <c r="G38" s="12">
        <f>August!G39+F38</f>
        <v>0</v>
      </c>
    </row>
    <row r="39" spans="1:7" ht="15" customHeight="1" x14ac:dyDescent="0.2">
      <c r="A39" s="11" t="s">
        <v>37</v>
      </c>
      <c r="B39" s="82">
        <f>525+525+1700+525+525+1700+525+525+2160+667+667+666+1600+667+667+666+800+940+525+525+525+1700+525+525+525+1700+525+525+525+197+500+440+190+1690+1800+2000+1715+2160+2160+1670</f>
        <v>38697</v>
      </c>
      <c r="C39" s="12">
        <f>August!C40+B39</f>
        <v>1920324</v>
      </c>
      <c r="D39" s="84"/>
      <c r="E39" s="12">
        <f>August!E40+D39</f>
        <v>263</v>
      </c>
      <c r="F39" s="61"/>
      <c r="G39" s="12">
        <f>August!G40+F39</f>
        <v>0</v>
      </c>
    </row>
    <row r="40" spans="1:7" ht="15" customHeight="1" x14ac:dyDescent="0.2">
      <c r="A40" s="11" t="s">
        <v>38</v>
      </c>
      <c r="B40" s="82"/>
      <c r="C40" s="12">
        <f>August!C41+B40</f>
        <v>0</v>
      </c>
      <c r="D40" s="84"/>
      <c r="E40" s="12">
        <f>August!E41+D40</f>
        <v>0</v>
      </c>
      <c r="F40" s="61"/>
      <c r="G40" s="12">
        <f>August!G41+F40</f>
        <v>0</v>
      </c>
    </row>
    <row r="41" spans="1:7" ht="15" customHeight="1" x14ac:dyDescent="0.2">
      <c r="A41" s="11" t="s">
        <v>39</v>
      </c>
      <c r="B41" s="82"/>
      <c r="C41" s="12">
        <f>August!C42+B41</f>
        <v>9661</v>
      </c>
      <c r="D41" s="84"/>
      <c r="E41" s="12">
        <f>August!E42+D41</f>
        <v>4529</v>
      </c>
      <c r="F41" s="61"/>
      <c r="G41" s="12">
        <f>August!G42+F41</f>
        <v>0</v>
      </c>
    </row>
    <row r="42" spans="1:7" ht="15" customHeight="1" x14ac:dyDescent="0.2">
      <c r="A42" s="11" t="s">
        <v>40</v>
      </c>
      <c r="B42" s="82"/>
      <c r="C42" s="12">
        <f>August!C43+B42</f>
        <v>0</v>
      </c>
      <c r="D42" s="84"/>
      <c r="E42" s="12">
        <f>August!E43+D42</f>
        <v>0</v>
      </c>
      <c r="F42" s="61"/>
      <c r="G42" s="12">
        <f>August!G43+F42</f>
        <v>0</v>
      </c>
    </row>
    <row r="43" spans="1:7" ht="15" customHeight="1" x14ac:dyDescent="0.2">
      <c r="A43" s="11" t="s">
        <v>41</v>
      </c>
      <c r="B43" s="82"/>
      <c r="C43" s="12">
        <f>August!C44+B43</f>
        <v>0</v>
      </c>
      <c r="D43" s="84"/>
      <c r="E43" s="12">
        <f>August!E44+D43</f>
        <v>0</v>
      </c>
      <c r="F43" s="61"/>
      <c r="G43" s="12">
        <f>August!G44+F43</f>
        <v>0</v>
      </c>
    </row>
    <row r="44" spans="1:7" ht="15" customHeight="1" x14ac:dyDescent="0.2">
      <c r="A44" s="11" t="s">
        <v>42</v>
      </c>
      <c r="B44" s="82"/>
      <c r="C44" s="12">
        <f>August!C45+B44</f>
        <v>360759</v>
      </c>
      <c r="D44" s="84"/>
      <c r="E44" s="12">
        <f>August!E45+D44</f>
        <v>9357</v>
      </c>
      <c r="F44" s="61"/>
      <c r="G44" s="12">
        <f>August!G45+F44</f>
        <v>0</v>
      </c>
    </row>
    <row r="45" spans="1:7" ht="15" customHeight="1" x14ac:dyDescent="0.2">
      <c r="A45" s="11" t="s">
        <v>43</v>
      </c>
      <c r="B45" s="82"/>
      <c r="C45" s="12">
        <f>August!C46+B45</f>
        <v>403</v>
      </c>
      <c r="D45" s="84"/>
      <c r="E45" s="12">
        <f>August!E46+D45</f>
        <v>113</v>
      </c>
      <c r="F45" s="61"/>
      <c r="G45" s="12">
        <f>August!G46+F45</f>
        <v>0</v>
      </c>
    </row>
    <row r="46" spans="1:7" ht="15" customHeight="1" x14ac:dyDescent="0.2">
      <c r="A46" s="11" t="s">
        <v>44</v>
      </c>
      <c r="B46" s="82"/>
      <c r="C46" s="12">
        <f>August!C47+B46</f>
        <v>439146</v>
      </c>
      <c r="D46" s="84"/>
      <c r="E46" s="12">
        <f>August!E47+D46</f>
        <v>292</v>
      </c>
      <c r="F46" s="61"/>
      <c r="G46" s="12">
        <f>August!G47+F46</f>
        <v>0</v>
      </c>
    </row>
    <row r="47" spans="1:7" ht="15" customHeight="1" x14ac:dyDescent="0.2">
      <c r="A47" s="11" t="s">
        <v>45</v>
      </c>
      <c r="B47" s="82"/>
      <c r="C47" s="12">
        <f>August!C48+B47</f>
        <v>289670</v>
      </c>
      <c r="D47" s="84"/>
      <c r="E47" s="12">
        <f>August!E48+D47</f>
        <v>0</v>
      </c>
      <c r="F47" s="61"/>
      <c r="G47" s="12">
        <f>August!G48+F47</f>
        <v>101</v>
      </c>
    </row>
    <row r="48" spans="1:7" ht="15" customHeight="1" x14ac:dyDescent="0.2">
      <c r="A48" s="11" t="s">
        <v>46</v>
      </c>
      <c r="B48" s="82"/>
      <c r="C48" s="12">
        <f>August!C49+B48</f>
        <v>0</v>
      </c>
      <c r="D48" s="84"/>
      <c r="E48" s="12">
        <f>August!E49+D48</f>
        <v>0</v>
      </c>
      <c r="F48" s="61"/>
      <c r="G48" s="12">
        <f>August!G49+F48</f>
        <v>0</v>
      </c>
    </row>
    <row r="49" spans="1:256" ht="15" customHeight="1" x14ac:dyDescent="0.2">
      <c r="A49" s="11" t="s">
        <v>47</v>
      </c>
      <c r="B49" s="82"/>
      <c r="C49" s="12">
        <f>August!C50+B49</f>
        <v>0</v>
      </c>
      <c r="D49" s="84"/>
      <c r="E49" s="12">
        <f>August!E50+D49</f>
        <v>2</v>
      </c>
      <c r="F49" s="61"/>
      <c r="G49" s="12">
        <f>August!G50+F49</f>
        <v>0</v>
      </c>
    </row>
    <row r="50" spans="1:256" ht="15" customHeight="1" x14ac:dyDescent="0.2">
      <c r="A50" s="11" t="s">
        <v>48</v>
      </c>
      <c r="B50" s="82"/>
      <c r="C50" s="12">
        <f>August!C51+B50</f>
        <v>0</v>
      </c>
      <c r="D50" s="84"/>
      <c r="E50" s="12">
        <f>August!E51+D50</f>
        <v>0</v>
      </c>
      <c r="F50" s="61"/>
      <c r="G50" s="12">
        <f>August!G51+F50</f>
        <v>0</v>
      </c>
    </row>
    <row r="51" spans="1:256" ht="15" customHeight="1" x14ac:dyDescent="0.2">
      <c r="A51" s="11" t="s">
        <v>49</v>
      </c>
      <c r="B51" s="82"/>
      <c r="C51" s="12">
        <f>August!C52+B51</f>
        <v>0</v>
      </c>
      <c r="D51" s="84"/>
      <c r="E51" s="12">
        <f>August!E52+D51</f>
        <v>0</v>
      </c>
      <c r="F51" s="61"/>
      <c r="G51" s="12">
        <f>August!G52+F51</f>
        <v>0</v>
      </c>
    </row>
    <row r="52" spans="1:256" ht="15" customHeight="1" x14ac:dyDescent="0.2">
      <c r="A52" s="11" t="s">
        <v>50</v>
      </c>
      <c r="B52" s="82"/>
      <c r="C52" s="12">
        <f>August!C53+B52</f>
        <v>124872</v>
      </c>
      <c r="D52" s="84"/>
      <c r="E52" s="12">
        <f>August!E53+D52</f>
        <v>2752</v>
      </c>
      <c r="F52" s="61"/>
      <c r="G52" s="12">
        <f>August!G53+F52</f>
        <v>0</v>
      </c>
    </row>
    <row r="53" spans="1:256" ht="15" customHeight="1" x14ac:dyDescent="0.2">
      <c r="A53" s="11" t="s">
        <v>51</v>
      </c>
      <c r="B53" s="82"/>
      <c r="C53" s="12">
        <f>August!C54+B53</f>
        <v>231531</v>
      </c>
      <c r="D53" s="84"/>
      <c r="E53" s="12">
        <f>August!E54+D53</f>
        <v>323</v>
      </c>
      <c r="F53" s="61"/>
      <c r="G53" s="12">
        <f>August!G54+F53</f>
        <v>0</v>
      </c>
    </row>
    <row r="54" spans="1:256" ht="15" customHeight="1" thickBot="1" x14ac:dyDescent="0.25">
      <c r="A54" s="13" t="s">
        <v>52</v>
      </c>
      <c r="B54" s="79"/>
      <c r="C54" s="12">
        <f>August!C11+B54</f>
        <v>2147255</v>
      </c>
      <c r="D54" s="81"/>
      <c r="E54" s="12">
        <f>August!E11+D54</f>
        <v>6020</v>
      </c>
      <c r="F54" s="61"/>
      <c r="G54" s="12">
        <f>August!G11+F54</f>
        <v>99054</v>
      </c>
    </row>
    <row r="55" spans="1:256" ht="15" customHeight="1" thickTop="1" thickBot="1" x14ac:dyDescent="0.25">
      <c r="A55" s="14" t="s">
        <v>53</v>
      </c>
      <c r="B55" s="15">
        <f>SUM(B7:B54)</f>
        <v>56395</v>
      </c>
      <c r="C55" s="15">
        <f>August!C55+B55</f>
        <v>16939039.46875</v>
      </c>
      <c r="D55" s="15">
        <f>SUM(D7:D54)</f>
        <v>1320</v>
      </c>
      <c r="E55" s="15">
        <f>August!E55+D55</f>
        <v>108212</v>
      </c>
      <c r="F55" s="15">
        <f>SUM(F7:F54)</f>
        <v>0</v>
      </c>
      <c r="G55" s="15">
        <f>August!G55+F55</f>
        <v>105974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5" customHeight="1" x14ac:dyDescent="0.25">
      <c r="A56" s="17"/>
      <c r="B56" s="18"/>
      <c r="C56" s="18"/>
      <c r="D56" s="18"/>
      <c r="E56" s="18"/>
    </row>
    <row r="57" spans="1:256" ht="15" customHeight="1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ht="15" customHeight="1" x14ac:dyDescent="0.35">
      <c r="A58" s="1" t="s">
        <v>55</v>
      </c>
      <c r="B58" s="22"/>
      <c r="C58" s="23"/>
      <c r="D58" s="24">
        <f>August!D58+C58</f>
        <v>200</v>
      </c>
      <c r="E58" s="18"/>
      <c r="F58" s="37"/>
      <c r="G58" s="37"/>
    </row>
    <row r="59" spans="1:256" ht="15" customHeight="1" x14ac:dyDescent="0.35">
      <c r="A59" s="1" t="s">
        <v>56</v>
      </c>
      <c r="B59" s="23"/>
      <c r="C59" s="23"/>
      <c r="D59" s="24">
        <f>August!D59+C59</f>
        <v>16600</v>
      </c>
      <c r="F59" s="37"/>
      <c r="G59" s="37"/>
    </row>
    <row r="60" spans="1:256" ht="15" customHeight="1" x14ac:dyDescent="0.2">
      <c r="A60" s="1" t="s">
        <v>57</v>
      </c>
      <c r="B60" s="23"/>
      <c r="C60" s="23"/>
      <c r="D60" s="24">
        <f>August!D60+C60</f>
        <v>300</v>
      </c>
    </row>
    <row r="61" spans="1:256" ht="15" customHeight="1" x14ac:dyDescent="0.2">
      <c r="A61" s="1" t="s">
        <v>58</v>
      </c>
      <c r="B61" s="23"/>
      <c r="C61" s="23"/>
      <c r="D61" s="24">
        <f>August!D61+C61</f>
        <v>0</v>
      </c>
    </row>
    <row r="62" spans="1:256" ht="15" customHeight="1" x14ac:dyDescent="0.2">
      <c r="A62" s="1" t="s">
        <v>59</v>
      </c>
      <c r="B62" s="23"/>
      <c r="C62" s="23"/>
      <c r="D62" s="24">
        <f>August!D62+C62</f>
        <v>243800</v>
      </c>
    </row>
    <row r="63" spans="1:256" ht="15" customHeight="1" x14ac:dyDescent="0.2">
      <c r="A63" s="1" t="s">
        <v>65</v>
      </c>
      <c r="B63" s="23"/>
      <c r="C63" s="23">
        <f>240+80+30+20+90+170+75+310+278+52+307+100+90+75+45+435+75+170+80+70+106+45+90+270+310+95</f>
        <v>3708</v>
      </c>
      <c r="D63" s="24">
        <f>August!D63+C63</f>
        <v>83601</v>
      </c>
    </row>
    <row r="64" spans="1:256" ht="15" customHeight="1" x14ac:dyDescent="0.2">
      <c r="A64" s="1" t="s">
        <v>63</v>
      </c>
      <c r="B64" s="23"/>
      <c r="C64" s="23">
        <f>350+120+260+270+140</f>
        <v>1140</v>
      </c>
      <c r="D64" s="24">
        <f>August!D64+C64</f>
        <v>117816</v>
      </c>
    </row>
    <row r="65" spans="1:4" ht="15" customHeight="1" x14ac:dyDescent="0.2">
      <c r="A65" s="1" t="s">
        <v>60</v>
      </c>
      <c r="C65" s="23"/>
      <c r="D65" s="24">
        <f>August!D65+C65</f>
        <v>0</v>
      </c>
    </row>
    <row r="66" spans="1:4" ht="15" customHeight="1" x14ac:dyDescent="0.2">
      <c r="A66" s="1" t="s">
        <v>61</v>
      </c>
      <c r="C66" s="23"/>
      <c r="D66" s="24">
        <f>August!D66+C66</f>
        <v>42766</v>
      </c>
    </row>
    <row r="67" spans="1:4" ht="15" customHeight="1" x14ac:dyDescent="0.2">
      <c r="A67" s="1" t="s">
        <v>62</v>
      </c>
      <c r="C67" s="23"/>
      <c r="D67" s="24">
        <f>August!D67+C67</f>
        <v>7650</v>
      </c>
    </row>
  </sheetData>
  <phoneticPr fontId="0" type="noConversion"/>
  <pageMargins left="0.5" right="0.5" top="0.5" bottom="0.5" header="0.5" footer="0.5"/>
  <pageSetup scale="7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Karla</dc:creator>
  <cp:lastModifiedBy>Potter, Lisa</cp:lastModifiedBy>
  <cp:lastPrinted>2011-09-14T17:22:45Z</cp:lastPrinted>
  <dcterms:created xsi:type="dcterms:W3CDTF">2001-01-18T13:50:08Z</dcterms:created>
  <dcterms:modified xsi:type="dcterms:W3CDTF">2012-09-17T13:39:50Z</dcterms:modified>
</cp:coreProperties>
</file>